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91869\Desktop\excel-business-intelligence-forecasting-git\excel\"/>
    </mc:Choice>
  </mc:AlternateContent>
  <xr:revisionPtr revIDLastSave="0" documentId="13_ncr:1_{77CCA6D3-57E9-4B11-9026-E42057086DBD}" xr6:coauthVersionLast="47" xr6:coauthVersionMax="47" xr10:uidLastSave="{00000000-0000-0000-0000-000000000000}"/>
  <bookViews>
    <workbookView xWindow="-110" yWindow="-110" windowWidth="19420" windowHeight="10300" firstSheet="9" activeTab="12" xr2:uid="{00000000-000D-0000-FFFF-FFFF00000000}"/>
  </bookViews>
  <sheets>
    <sheet name="00_README" sheetId="1" r:id="rId1"/>
    <sheet name="02_FORMULA_LAB" sheetId="2" r:id="rId2"/>
    <sheet name="03_ADVANCED_FORMULAS" sheetId="3" r:id="rId3"/>
    <sheet name="04_COUNTRY_ANALYSIS" sheetId="5" r:id="rId4"/>
    <sheet name="05_KPI_SUMMARY" sheetId="6" r:id="rId5"/>
    <sheet name="06_REVENUE_ANALYSIS" sheetId="7" r:id="rId6"/>
    <sheet name="07_PRODUCT_ANALYSIS" sheetId="8" r:id="rId7"/>
    <sheet name="08_CUSTOMER_ANALYSIS" sheetId="9" r:id="rId8"/>
    <sheet name="09_CUSTOMER_VALUE" sheetId="10" r:id="rId9"/>
    <sheet name="10_TIME_PATTERNS" sheetId="11" r:id="rId10"/>
    <sheet name="11_FORECASTING" sheetId="12" r:id="rId11"/>
    <sheet name="12_WHAT_IF" sheetId="13" r:id="rId12"/>
    <sheet name="13_OPTIMIZATION" sheetId="14" r:id="rId13"/>
    <sheet name="Model_QA" sheetId="4" r:id="rId14"/>
  </sheets>
  <definedNames>
    <definedName name="Discounted_Rate">'02_FORMULA_LAB'!$AF$5</definedName>
    <definedName name="Fee_Rate">'02_FORMULA_LAB'!$F$2</definedName>
    <definedName name="solver_adj" localSheetId="12" hidden="1">'13_OPTIMIZATION'!$F$4:$F$6</definedName>
    <definedName name="solver_cvg" localSheetId="12" hidden="1">0.0001</definedName>
    <definedName name="solver_drv" localSheetId="12" hidden="1">1</definedName>
    <definedName name="solver_eng" localSheetId="12" hidden="1">2</definedName>
    <definedName name="solver_est" localSheetId="12" hidden="1">1</definedName>
    <definedName name="solver_itr" localSheetId="12" hidden="1">2147483647</definedName>
    <definedName name="solver_lhs1" localSheetId="12" hidden="1">'13_OPTIMIZATION'!$B$9</definedName>
    <definedName name="solver_lhs2" localSheetId="12" hidden="1">'13_OPTIMIZATION'!$F$4:$F$6</definedName>
    <definedName name="solver_lhs3" localSheetId="12" hidden="1">'13_OPTIMIZATION'!$F$4:$F$6</definedName>
    <definedName name="solver_lhs4" localSheetId="12" hidden="1">'13_OPTIMIZATION'!$F$5</definedName>
    <definedName name="solver_lhs5" localSheetId="12" hidden="1">'13_OPTIMIZATION'!$F$5</definedName>
    <definedName name="solver_mip" localSheetId="12" hidden="1">2147483647</definedName>
    <definedName name="solver_mni" localSheetId="12" hidden="1">30</definedName>
    <definedName name="solver_mrt" localSheetId="12" hidden="1">0.075</definedName>
    <definedName name="solver_msl" localSheetId="12" hidden="1">2</definedName>
    <definedName name="solver_neg" localSheetId="12" hidden="1">1</definedName>
    <definedName name="solver_nod" localSheetId="12" hidden="1">2147483647</definedName>
    <definedName name="solver_num" localSheetId="12" hidden="1">4</definedName>
    <definedName name="solver_nwt" localSheetId="12" hidden="1">1</definedName>
    <definedName name="solver_opt" localSheetId="12" hidden="1">'13_OPTIMIZATION'!$C$9</definedName>
    <definedName name="solver_pre" localSheetId="12" hidden="1">0.000001</definedName>
    <definedName name="solver_rbv" localSheetId="12" hidden="1">1</definedName>
    <definedName name="solver_rel1" localSheetId="12" hidden="1">1</definedName>
    <definedName name="solver_rel2" localSheetId="12" hidden="1">1</definedName>
    <definedName name="solver_rel3" localSheetId="12" hidden="1">4</definedName>
    <definedName name="solver_rel4" localSheetId="12" hidden="1">3</definedName>
    <definedName name="solver_rel5" localSheetId="12" hidden="1">3</definedName>
    <definedName name="solver_rhs1" localSheetId="12" hidden="1">'13_OPTIMIZATION'!$D$9</definedName>
    <definedName name="solver_rhs2" localSheetId="12" hidden="1">'13_OPTIMIZATION'!$E$4:$E$6</definedName>
    <definedName name="solver_rhs3" localSheetId="12" hidden="1">"integer"</definedName>
    <definedName name="solver_rhs4" localSheetId="12" hidden="1">100</definedName>
    <definedName name="solver_rhs5" localSheetId="12" hidden="1">100</definedName>
    <definedName name="solver_rlx" localSheetId="12" hidden="1">2</definedName>
    <definedName name="solver_rsd" localSheetId="12" hidden="1">0</definedName>
    <definedName name="solver_scl" localSheetId="12" hidden="1">1</definedName>
    <definedName name="solver_sho" localSheetId="12" hidden="1">2</definedName>
    <definedName name="solver_ssz" localSheetId="12" hidden="1">100</definedName>
    <definedName name="solver_tim" localSheetId="12" hidden="1">2147483647</definedName>
    <definedName name="solver_tol" localSheetId="12" hidden="1">0</definedName>
    <definedName name="solver_typ" localSheetId="12" hidden="1">1</definedName>
    <definedName name="solver_val" localSheetId="12" hidden="1">0</definedName>
    <definedName name="solver_ver" localSheetId="12" hidden="1">3</definedName>
  </definedNames>
  <calcPr calcId="191029"/>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Transactions_af34c521-27b8-4e0c-8caf-84b4b91308f5" name="fact_Transactions" connection="Query - fact_Transactions"/>
          <x15:modelTable id="dim_Date_c945ee2d-a762-4c51-96b8-e2e3ab9ccd18" name="dim_Date" connection="Query - dim_Date"/>
          <x15:modelTable id="dim_Product_a11ad3dd-1a4b-448a-af92-669cb526de14" name="dim_Product" connection="Query - dim_Product"/>
          <x15:modelTable id="dim_Customer_58657691-17f4-4455-b189-fa7138c48076" name="dim_Customer" connection="Query - dim_Customer"/>
          <x15:modelTable id="dim_Country_38e3e068-f1c8-4492-bd16-08f50e9de15e" name="dim_Country" connection="Query - dim_Country"/>
        </x15:modelTables>
        <x15:modelRelationships>
          <x15:modelRelationship fromTable="fact_Transactions" fromColumn="TransactionDate" toTable="dim_Date" toColumn="Date"/>
          <x15:modelRelationship fromTable="fact_Transactions" fromColumn="Customer ID" toTable="dim_Customer" toColumn="Customer ID"/>
          <x15:modelRelationship fromTable="fact_Transactions" fromColumn="Country" toTable="dim_Country" toColumn="Country"/>
          <x15:modelRelationship fromTable="fact_Transactions" fromColumn="StockCode" toTable="dim_Product" toColumn="StockCode"/>
        </x15:modelRelationships>
      </x15:dataModel>
    </ext>
  </extLst>
</workbook>
</file>

<file path=xl/calcChain.xml><?xml version="1.0" encoding="utf-8"?>
<calcChain xmlns="http://schemas.openxmlformats.org/spreadsheetml/2006/main">
  <c r="H5" i="14" l="1"/>
  <c r="H6" i="14"/>
  <c r="G5" i="14"/>
  <c r="G6" i="14"/>
  <c r="H4" i="14"/>
  <c r="G4" i="14"/>
  <c r="H5" i="13"/>
  <c r="H6" i="13"/>
  <c r="H4" i="13"/>
  <c r="C8" i="13"/>
  <c r="C7" i="13"/>
  <c r="AE28" i="12"/>
  <c r="AD28" i="12"/>
  <c r="AC28" i="12"/>
  <c r="AB28" i="12"/>
  <c r="AA27" i="12"/>
  <c r="AA28" i="12"/>
  <c r="Z5" i="12"/>
  <c r="Z6" i="12"/>
  <c r="Z7" i="12"/>
  <c r="Z8" i="12"/>
  <c r="Z9" i="12"/>
  <c r="Z10" i="12"/>
  <c r="Z11" i="12"/>
  <c r="Z12" i="12"/>
  <c r="Z13" i="12"/>
  <c r="Z14" i="12"/>
  <c r="Z15" i="12"/>
  <c r="Z16" i="12"/>
  <c r="Z17" i="12"/>
  <c r="Z18" i="12"/>
  <c r="Z19" i="12"/>
  <c r="Z20" i="12"/>
  <c r="Z21" i="12"/>
  <c r="Z22" i="12"/>
  <c r="Z23" i="12"/>
  <c r="Z24" i="12"/>
  <c r="Z25" i="12"/>
  <c r="Z26" i="12"/>
  <c r="Z27" i="12"/>
  <c r="Z4" i="12"/>
  <c r="Y5" i="12"/>
  <c r="Y6" i="12"/>
  <c r="Y7" i="12"/>
  <c r="Y8" i="12"/>
  <c r="Y9" i="12"/>
  <c r="Y10" i="12"/>
  <c r="Y11" i="12"/>
  <c r="Y12" i="12"/>
  <c r="Y13" i="12"/>
  <c r="Y14" i="12"/>
  <c r="Y15" i="12"/>
  <c r="Y16" i="12"/>
  <c r="Y17" i="12"/>
  <c r="Y18" i="12"/>
  <c r="Y19" i="12"/>
  <c r="Y20" i="12"/>
  <c r="Y21" i="12"/>
  <c r="Y22" i="12"/>
  <c r="Y23" i="12"/>
  <c r="Y24" i="12"/>
  <c r="Y25" i="12"/>
  <c r="Y26" i="12"/>
  <c r="Y27" i="12"/>
  <c r="Y28" i="12"/>
  <c r="Y4" i="12"/>
  <c r="V15" i="12"/>
  <c r="U15" i="12"/>
  <c r="T15" i="12"/>
  <c r="S15" i="12"/>
  <c r="V14" i="12"/>
  <c r="U14" i="12"/>
  <c r="T14" i="12"/>
  <c r="S14" i="12"/>
  <c r="V13" i="12"/>
  <c r="U13" i="12"/>
  <c r="T13" i="12"/>
  <c r="S13" i="12"/>
  <c r="V6" i="12"/>
  <c r="V7" i="12"/>
  <c r="V8" i="12"/>
  <c r="V9" i="12"/>
  <c r="V5" i="12"/>
  <c r="V4" i="12"/>
  <c r="U6" i="12"/>
  <c r="U7" i="12"/>
  <c r="U8" i="12"/>
  <c r="U9" i="12"/>
  <c r="U5" i="12"/>
  <c r="U4" i="12"/>
  <c r="T6" i="12"/>
  <c r="T7" i="12"/>
  <c r="T8" i="12"/>
  <c r="T9" i="12"/>
  <c r="T5" i="12"/>
  <c r="T4" i="12"/>
  <c r="P28" i="12"/>
  <c r="O28" i="12"/>
  <c r="N28" i="12"/>
  <c r="K8" i="12"/>
  <c r="K9" i="12"/>
  <c r="K10" i="12"/>
  <c r="K11" i="12"/>
  <c r="K12" i="12"/>
  <c r="K13" i="12"/>
  <c r="K14" i="12"/>
  <c r="K15" i="12"/>
  <c r="K16" i="12"/>
  <c r="K17" i="12"/>
  <c r="K18" i="12"/>
  <c r="K19" i="12"/>
  <c r="K20" i="12"/>
  <c r="K21" i="12"/>
  <c r="K22" i="12"/>
  <c r="K23" i="12"/>
  <c r="K24" i="12"/>
  <c r="K25" i="12"/>
  <c r="K26" i="12"/>
  <c r="K27" i="12"/>
  <c r="K7" i="12"/>
  <c r="J8" i="12"/>
  <c r="J9" i="12"/>
  <c r="J10" i="12"/>
  <c r="J11" i="12"/>
  <c r="J12" i="12"/>
  <c r="J13" i="12"/>
  <c r="J14" i="12"/>
  <c r="J15" i="12"/>
  <c r="J16" i="12"/>
  <c r="J17" i="12"/>
  <c r="J18" i="12"/>
  <c r="J19" i="12"/>
  <c r="J20" i="12"/>
  <c r="J21" i="12"/>
  <c r="J22" i="12"/>
  <c r="J23" i="12"/>
  <c r="J24" i="12"/>
  <c r="J25" i="12"/>
  <c r="J26" i="12"/>
  <c r="J27" i="12"/>
  <c r="J28" i="12"/>
  <c r="J7" i="12"/>
  <c r="H28" i="12"/>
  <c r="I6" i="12"/>
  <c r="I7" i="12"/>
  <c r="I8" i="12"/>
  <c r="I9" i="12"/>
  <c r="I10" i="12"/>
  <c r="I11" i="12"/>
  <c r="I12" i="12"/>
  <c r="I13" i="12"/>
  <c r="I14" i="12"/>
  <c r="I15" i="12"/>
  <c r="I16" i="12"/>
  <c r="I17" i="12"/>
  <c r="I18" i="12"/>
  <c r="I19" i="12"/>
  <c r="I20" i="12"/>
  <c r="I21" i="12"/>
  <c r="I22" i="12"/>
  <c r="I23" i="12"/>
  <c r="I24" i="12"/>
  <c r="I25" i="12"/>
  <c r="I26" i="12"/>
  <c r="I27" i="12"/>
  <c r="I5" i="12"/>
  <c r="H6" i="12"/>
  <c r="H7" i="12"/>
  <c r="H8" i="12"/>
  <c r="H9" i="12"/>
  <c r="H10" i="12"/>
  <c r="H11" i="12"/>
  <c r="H12" i="12"/>
  <c r="H13" i="12"/>
  <c r="H14" i="12"/>
  <c r="H15" i="12"/>
  <c r="H16" i="12"/>
  <c r="H17" i="12"/>
  <c r="H18" i="12"/>
  <c r="H19" i="12"/>
  <c r="H20" i="12"/>
  <c r="H21" i="12"/>
  <c r="H22" i="12"/>
  <c r="H23" i="12"/>
  <c r="H24" i="12"/>
  <c r="H25" i="12"/>
  <c r="H26" i="12"/>
  <c r="H27" i="12"/>
  <c r="H5" i="12"/>
  <c r="G5" i="12"/>
  <c r="G6" i="12"/>
  <c r="G7" i="12"/>
  <c r="G8" i="12"/>
  <c r="G9" i="12"/>
  <c r="G10" i="12"/>
  <c r="G11" i="12"/>
  <c r="G12" i="12"/>
  <c r="G13" i="12"/>
  <c r="G14" i="12"/>
  <c r="G15" i="12"/>
  <c r="G16" i="12"/>
  <c r="G17" i="12"/>
  <c r="G18" i="12"/>
  <c r="G19" i="12"/>
  <c r="G20" i="12"/>
  <c r="G21" i="12"/>
  <c r="G22" i="12"/>
  <c r="G23" i="12"/>
  <c r="G24" i="12"/>
  <c r="G25" i="12"/>
  <c r="G26" i="12"/>
  <c r="G27" i="12"/>
  <c r="G4" i="12"/>
  <c r="P18" i="3"/>
  <c r="O18" i="3"/>
  <c r="O15" i="3"/>
  <c r="O14" i="3"/>
  <c r="O13" i="3"/>
  <c r="T8" i="3"/>
  <c r="T6" i="3"/>
  <c r="R15" i="3"/>
  <c r="Q15" i="3"/>
  <c r="R9" i="3"/>
  <c r="Q9" i="3"/>
  <c r="Q8" i="3"/>
  <c r="Q7" i="3"/>
  <c r="R2" i="3"/>
  <c r="O3" i="3"/>
  <c r="O6" i="3"/>
  <c r="O4" i="3"/>
  <c r="O2" i="3"/>
  <c r="E14" i="3"/>
  <c r="E13" i="3"/>
  <c r="E12" i="3"/>
  <c r="E11" i="3"/>
  <c r="E10" i="3"/>
  <c r="G3" i="3"/>
  <c r="G4" i="3"/>
  <c r="G5" i="3"/>
  <c r="G2" i="3"/>
  <c r="F3" i="3"/>
  <c r="F4" i="3"/>
  <c r="F5" i="3"/>
  <c r="F2" i="3"/>
  <c r="E3" i="3"/>
  <c r="E4" i="3"/>
  <c r="E5" i="3"/>
  <c r="E2" i="3"/>
  <c r="C3" i="3"/>
  <c r="C4" i="3"/>
  <c r="C5" i="3"/>
  <c r="C2" i="3"/>
  <c r="AD5" i="2"/>
  <c r="AD6" i="2"/>
  <c r="AD7" i="2"/>
  <c r="AC5" i="2"/>
  <c r="AC6" i="2"/>
  <c r="AC7" i="2"/>
  <c r="E3" i="2"/>
  <c r="E4" i="2"/>
  <c r="E2" i="2"/>
  <c r="C12" i="2"/>
  <c r="B12" i="2"/>
  <c r="B10" i="2"/>
  <c r="H13" i="2"/>
  <c r="I13" i="2"/>
  <c r="J13" i="2"/>
  <c r="I12" i="2"/>
  <c r="J12" i="2"/>
  <c r="J11" i="2"/>
  <c r="I11" i="2"/>
  <c r="H11" i="2"/>
  <c r="H12" i="2"/>
  <c r="H4" i="2"/>
  <c r="I4" i="2"/>
  <c r="J4" i="2"/>
  <c r="K4" i="2"/>
  <c r="L4" i="2"/>
  <c r="H5" i="2"/>
  <c r="I5" i="2"/>
  <c r="J5" i="2"/>
  <c r="K5" i="2"/>
  <c r="L5" i="2"/>
  <c r="H6" i="2"/>
  <c r="I6" i="2"/>
  <c r="J6" i="2"/>
  <c r="K6" i="2"/>
  <c r="L6" i="2"/>
  <c r="H7" i="2"/>
  <c r="I7" i="2"/>
  <c r="J7" i="2"/>
  <c r="K7" i="2"/>
  <c r="L7" i="2"/>
  <c r="I3" i="2"/>
  <c r="J3" i="2"/>
  <c r="K3" i="2"/>
  <c r="L3" i="2"/>
  <c r="H3" i="2"/>
  <c r="D3" i="2"/>
  <c r="D4" i="2"/>
  <c r="D2" i="2"/>
  <c r="W6" i="12"/>
  <c r="W7" i="12"/>
  <c r="W8" i="12"/>
  <c r="W9" i="12"/>
  <c r="W5" i="12"/>
  <c r="W4" i="12"/>
  <c r="M28" i="12"/>
  <c r="L28" i="12"/>
  <c r="B9" i="14" l="1"/>
  <c r="C9" i="14"/>
  <c r="C9" i="13"/>
  <c r="B13" i="13" s="1"/>
  <c r="C20" i="13"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523109C-386E-4D2F-AB5C-7A17B842A514}" name="Query - dim_Country" description="Connection to the 'dim_Country' query in the workbook." type="100" refreshedVersion="8" minRefreshableVersion="5">
    <extLst>
      <ext xmlns:x15="http://schemas.microsoft.com/office/spreadsheetml/2010/11/main" uri="{DE250136-89BD-433C-8126-D09CA5730AF9}">
        <x15:connection id="d26c0ab7-e831-4dc7-82ac-cea790ae97e7"/>
      </ext>
    </extLst>
  </connection>
  <connection id="2" xr16:uid="{74F18BFA-55BD-4E5D-A8A4-4B313F46A738}" name="Query - dim_Customer" description="Connection to the 'dim_Customer' query in the workbook." type="100" refreshedVersion="8" minRefreshableVersion="5">
    <extLst>
      <ext xmlns:x15="http://schemas.microsoft.com/office/spreadsheetml/2010/11/main" uri="{DE250136-89BD-433C-8126-D09CA5730AF9}">
        <x15:connection id="9f4491b4-3837-41f1-aabb-59a7a2b757f8"/>
      </ext>
    </extLst>
  </connection>
  <connection id="3" xr16:uid="{994EAFB0-CA50-4433-A31C-9A04ADDC9721}" name="Query - dim_Date" description="Connection to the 'dim_Date' query in the workbook." type="100" refreshedVersion="8" minRefreshableVersion="5">
    <extLst>
      <ext xmlns:x15="http://schemas.microsoft.com/office/spreadsheetml/2010/11/main" uri="{DE250136-89BD-433C-8126-D09CA5730AF9}">
        <x15:connection id="4ef4c8ea-f207-4c76-b4f0-745c4a4177ae"/>
      </ext>
    </extLst>
  </connection>
  <connection id="4" xr16:uid="{4D57E472-6AA7-4A86-BA7F-7FFC01DB387B}" name="Query - dim_Product" description="Connection to the 'dim_Product' query in the workbook." type="100" refreshedVersion="8" minRefreshableVersion="5">
    <extLst>
      <ext xmlns:x15="http://schemas.microsoft.com/office/spreadsheetml/2010/11/main" uri="{DE250136-89BD-433C-8126-D09CA5730AF9}">
        <x15:connection id="494db8af-c290-4703-a511-e75d3721c6fa"/>
      </ext>
    </extLst>
  </connection>
  <connection id="5" xr16:uid="{C5A59DC1-20F6-4575-8F05-B24F716495E2}" name="Query - fact_Transactions" description="Connection to the 'fact_Transactions' query in the workbook." type="100" refreshedVersion="8" minRefreshableVersion="5">
    <extLst>
      <ext xmlns:x15="http://schemas.microsoft.com/office/spreadsheetml/2010/11/main" uri="{DE250136-89BD-433C-8126-D09CA5730AF9}">
        <x15:connection id="47394198-be30-49cb-b640-18681b9813cb"/>
      </ext>
    </extLst>
  </connection>
  <connection id="6" xr16:uid="{A3E82387-6632-4E2A-8FB0-21B9C8AF7C9C}" keepAlive="1" name="Query - qa_AnalysisStatus" description="Connection to the 'qa_AnalysisStatus' query in the workbook." type="5" refreshedVersion="0" background="1">
    <dbPr connection="Provider=Microsoft.Mashup.OleDb.1;Data Source=$Workbook$;Location=qa_AnalysisStatus;Extended Properties=&quot;&quot;" command="SELECT * FROM [qa_AnalysisStatus]"/>
  </connection>
  <connection id="7" xr16:uid="{D962823C-0EBA-4E3F-89E8-2F2B03145E87}" keepAlive="1" name="Query - qa_RowCount" description="Connection to the 'qa_RowCount' query in the workbook." type="5" refreshedVersion="0" background="1">
    <dbPr connection="Provider=Microsoft.Mashup.OleDb.1;Data Source=$Workbook$;Location=qa_RowCount;Extended Properties=&quot;&quot;" command="SELECT * FROM [qa_RowCount]"/>
  </connection>
  <connection id="8" xr16:uid="{18527371-5DDB-4AD6-A236-40CD58A6F9A8}" keepAlive="1" name="Query - qa_StockCodes" description="Connection to the 'qa_StockCodes' query in the workbook." type="5" refreshedVersion="0" background="1">
    <dbPr connection="Provider=Microsoft.Mashup.OleDb.1;Data Source=$Workbook$;Location=qa_StockCodes;Extended Properties=&quot;&quot;" command="SELECT * FROM [qa_StockCodes]"/>
  </connection>
  <connection id="9" xr16:uid="{01A93971-3D2F-46E0-BA89-B5C5DC19D333}" keepAlive="1" name="Query - qa_TransactionTypes" description="Connection to the 'qa_TransactionTypes' query in the workbook." type="5" refreshedVersion="0" background="1">
    <dbPr connection="Provider=Microsoft.Mashup.OleDb.1;Data Source=$Workbook$;Location=qa_TransactionTypes;Extended Properties=&quot;&quot;" command="SELECT * FROM [qa_TransactionTypes]"/>
  </connection>
  <connection id="10" xr16:uid="{5ECA99DB-044E-4466-9A8D-1FEA162127D8}" keepAlive="1" name="Query - src_2009_2010" description="Connection to the 'src_2009_2010' query in the workbook." type="5" refreshedVersion="0" background="1">
    <dbPr connection="Provider=Microsoft.Mashup.OleDb.1;Data Source=$Workbook$;Location=src_2009_2010;Extended Properties=&quot;&quot;" command="SELECT * FROM [src_2009_2010]"/>
  </connection>
  <connection id="11" xr16:uid="{27C991EA-BECD-4D06-BAAC-CEDDA0BDA50A}" keepAlive="1" name="Query - src_2010_2011" description="Connection to the 'src_2010_2011' query in the workbook." type="5" refreshedVersion="0" background="1">
    <dbPr connection="Provider=Microsoft.Mashup.OleDb.1;Data Source=$Workbook$;Location=src_2010_2011;Extended Properties=&quot;&quot;" command="SELECT * FROM [src_2010_2011]"/>
  </connection>
  <connection id="12" xr16:uid="{10A556DD-5766-4FC4-9D5D-9788839EAE60}"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3">
    <s v="ThisWorkbookDataModel"/>
    <s v="{[dim_Product].[RecordType].&amp;[Product]}"/>
    <s v="{[fact_Transactions].[RecordType].&amp;[Product]}"/>
  </metadataStrings>
  <mdxMetadata count="2">
    <mdx n="0" f="s">
      <ms ns="1" c="0"/>
    </mdx>
    <mdx n="0" f="s">
      <ms ns="2" c="0"/>
    </mdx>
  </mdxMetadata>
  <valueMetadata count="2">
    <bk>
      <rc t="1" v="0"/>
    </bk>
    <bk>
      <rc t="1" v="1"/>
    </bk>
  </valueMetadata>
</metadata>
</file>

<file path=xl/sharedStrings.xml><?xml version="1.0" encoding="utf-8"?>
<sst xmlns="http://schemas.openxmlformats.org/spreadsheetml/2006/main" count="534" uniqueCount="268">
  <si>
    <t>NEXORA COMMERCE</t>
  </si>
  <si>
    <t>Business Intelligence &amp; Forecasting Platform</t>
  </si>
  <si>
    <t>PURPOSE</t>
  </si>
  <si>
    <t>End-to-end Excel analytics platform for business performance analysis, customer analytics, forecasting, scenario modeling, optimization, and executive reporting.</t>
  </si>
  <si>
    <t>DATA SOURCE</t>
  </si>
  <si>
    <t>UCI Machine Learning Repository — Online Retail II</t>
  </si>
  <si>
    <t>PROJECT WORKFLOW</t>
  </si>
  <si>
    <t>Raw Data</t>
  </si>
  <si>
    <t>Power Query</t>
  </si>
  <si>
    <t>Data Model</t>
  </si>
  <si>
    <t>Business Analytics</t>
  </si>
  <si>
    <t>Forecasting &amp; Optimization</t>
  </si>
  <si>
    <t>Executive Dashboard</t>
  </si>
  <si>
    <t xml:space="preserve">Product </t>
  </si>
  <si>
    <t>Price</t>
  </si>
  <si>
    <t xml:space="preserve">Quantity </t>
  </si>
  <si>
    <t xml:space="preserve">Revenue </t>
  </si>
  <si>
    <t>Laptop Stand</t>
  </si>
  <si>
    <t>Keyboard</t>
  </si>
  <si>
    <t>Mouse</t>
  </si>
  <si>
    <t>Fee Rate</t>
  </si>
  <si>
    <t>Tansaction Fee</t>
  </si>
  <si>
    <t xml:space="preserve">Product Price </t>
  </si>
  <si>
    <t>Order ID</t>
  </si>
  <si>
    <t>Status</t>
  </si>
  <si>
    <t>Processing</t>
  </si>
  <si>
    <t>Priority</t>
  </si>
  <si>
    <t>Low</t>
  </si>
  <si>
    <t>Medium</t>
  </si>
  <si>
    <t>High</t>
  </si>
  <si>
    <t>Critical</t>
  </si>
  <si>
    <t>Order Priority</t>
  </si>
  <si>
    <t>Jan</t>
  </si>
  <si>
    <t>Feb</t>
  </si>
  <si>
    <t>Mar</t>
  </si>
  <si>
    <t>Apr</t>
  </si>
  <si>
    <t>France</t>
  </si>
  <si>
    <t>Germany</t>
  </si>
  <si>
    <t>UK</t>
  </si>
  <si>
    <t>Product</t>
  </si>
  <si>
    <t>Quantity</t>
  </si>
  <si>
    <t>Headphones</t>
  </si>
  <si>
    <t>Webcam</t>
  </si>
  <si>
    <t>USB Hub</t>
  </si>
  <si>
    <t>Revenue</t>
  </si>
  <si>
    <t>Final Revenue</t>
  </si>
  <si>
    <t>Discounted Rate</t>
  </si>
  <si>
    <t xml:space="preserve">Performance </t>
  </si>
  <si>
    <t>Laptop</t>
  </si>
  <si>
    <t>Monitor</t>
  </si>
  <si>
    <t>Units Sold</t>
  </si>
  <si>
    <t>Business Rating</t>
  </si>
  <si>
    <t>Priority Status</t>
  </si>
  <si>
    <t>Revenue Tier</t>
  </si>
  <si>
    <t>Country</t>
  </si>
  <si>
    <t xml:space="preserve">Category </t>
  </si>
  <si>
    <t>Canada</t>
  </si>
  <si>
    <t>Electronics</t>
  </si>
  <si>
    <t>Furniture</t>
  </si>
  <si>
    <t>Product ID</t>
  </si>
  <si>
    <t xml:space="preserve">Product Name </t>
  </si>
  <si>
    <t>Category</t>
  </si>
  <si>
    <t>P101</t>
  </si>
  <si>
    <t>Office</t>
  </si>
  <si>
    <t>P102</t>
  </si>
  <si>
    <t>P103</t>
  </si>
  <si>
    <t>P104</t>
  </si>
  <si>
    <t>Desk Lamp</t>
  </si>
  <si>
    <t>Home</t>
  </si>
  <si>
    <t>P105</t>
  </si>
  <si>
    <t xml:space="preserve">Search Product ID </t>
  </si>
  <si>
    <t>=VLOOKUP(</t>
  </si>
  <si>
    <t>Raw Customer Name</t>
  </si>
  <si>
    <t>Clean Customer Name</t>
  </si>
  <si>
    <t xml:space="preserve"> Samara Pires</t>
  </si>
  <si>
    <t>CAN-2026-45821</t>
  </si>
  <si>
    <t>CANADA-WEST-2026</t>
  </si>
  <si>
    <t>Samara</t>
  </si>
  <si>
    <t>Pires</t>
  </si>
  <si>
    <t>Desk</t>
  </si>
  <si>
    <t xml:space="preserve"> </t>
  </si>
  <si>
    <t>Row Labels</t>
  </si>
  <si>
    <t>Australia</t>
  </si>
  <si>
    <t>Austria</t>
  </si>
  <si>
    <t>Bahrain</t>
  </si>
  <si>
    <t>Belgium</t>
  </si>
  <si>
    <t>Bermuda</t>
  </si>
  <si>
    <t>Brazil</t>
  </si>
  <si>
    <t>Channel Islands</t>
  </si>
  <si>
    <t>Cyprus</t>
  </si>
  <si>
    <t>Czech Republic</t>
  </si>
  <si>
    <t>Denmark</t>
  </si>
  <si>
    <t>European Community</t>
  </si>
  <si>
    <t>Finland</t>
  </si>
  <si>
    <t>Greece</t>
  </si>
  <si>
    <t>Hong Kong</t>
  </si>
  <si>
    <t>Iceland</t>
  </si>
  <si>
    <t>Ireland</t>
  </si>
  <si>
    <t>Israel</t>
  </si>
  <si>
    <t>Italy</t>
  </si>
  <si>
    <t>Japan</t>
  </si>
  <si>
    <t>Korea</t>
  </si>
  <si>
    <t>Lebanon</t>
  </si>
  <si>
    <t>Lithuania</t>
  </si>
  <si>
    <t>Malta</t>
  </si>
  <si>
    <t>Netherlands</t>
  </si>
  <si>
    <t>Nigeria</t>
  </si>
  <si>
    <t>Norway</t>
  </si>
  <si>
    <t>Poland</t>
  </si>
  <si>
    <t>Portugal</t>
  </si>
  <si>
    <t>RSA</t>
  </si>
  <si>
    <t>Saudi Arabia</t>
  </si>
  <si>
    <t>Singapore</t>
  </si>
  <si>
    <t>Spain</t>
  </si>
  <si>
    <t>Sweden</t>
  </si>
  <si>
    <t>Switzerland</t>
  </si>
  <si>
    <t>Thailand</t>
  </si>
  <si>
    <t>United Arab Emirates</t>
  </si>
  <si>
    <t>United Kingdom</t>
  </si>
  <si>
    <t>Unspecified</t>
  </si>
  <si>
    <t>USA</t>
  </si>
  <si>
    <t>West Indies</t>
  </si>
  <si>
    <t>Grand Total</t>
  </si>
  <si>
    <t>Sum of Revenue</t>
  </si>
  <si>
    <t>Column Labels</t>
  </si>
  <si>
    <t>Core Sales Revenue</t>
  </si>
  <si>
    <t>Total Core Sales Revenue</t>
  </si>
  <si>
    <t>Total Core Orders</t>
  </si>
  <si>
    <t>Core Orders</t>
  </si>
  <si>
    <t>Total Average Order Value</t>
  </si>
  <si>
    <t>Average Order Value</t>
  </si>
  <si>
    <t>Total Previous Year Core Revenue</t>
  </si>
  <si>
    <t>Previous Year Core Revenue</t>
  </si>
  <si>
    <t>Total YoY Revenue Change</t>
  </si>
  <si>
    <t>YoY Revenue Change</t>
  </si>
  <si>
    <t>Total YoY Revenue Growth %</t>
  </si>
  <si>
    <t>YoY Revenue Growth %</t>
  </si>
  <si>
    <t>Unique Customers</t>
  </si>
  <si>
    <t>Core Units Sold</t>
  </si>
  <si>
    <t>Products Sold</t>
  </si>
  <si>
    <t>Core Revenue Share %</t>
  </si>
  <si>
    <t>2009-12</t>
  </si>
  <si>
    <t>2010-01</t>
  </si>
  <si>
    <t>2010-02</t>
  </si>
  <si>
    <t>2010-03</t>
  </si>
  <si>
    <t>2010-04</t>
  </si>
  <si>
    <t>2010-05</t>
  </si>
  <si>
    <t>2010-06</t>
  </si>
  <si>
    <t>2010-07</t>
  </si>
  <si>
    <t>2010-08</t>
  </si>
  <si>
    <t>2010-09</t>
  </si>
  <si>
    <t>2010-10</t>
  </si>
  <si>
    <t>2010-11</t>
  </si>
  <si>
    <t>2010-12</t>
  </si>
  <si>
    <t>2011-01</t>
  </si>
  <si>
    <t>2011-02</t>
  </si>
  <si>
    <t>2011-03</t>
  </si>
  <si>
    <t>2011-04</t>
  </si>
  <si>
    <t>2011-05</t>
  </si>
  <si>
    <t>2011-06</t>
  </si>
  <si>
    <t>2011-07</t>
  </si>
  <si>
    <t>2011-08</t>
  </si>
  <si>
    <t>2011-09</t>
  </si>
  <si>
    <t>2011-10</t>
  </si>
  <si>
    <t>2011-11</t>
  </si>
  <si>
    <t>2011-12</t>
  </si>
  <si>
    <t>(blank)</t>
  </si>
  <si>
    <t>60 TEATIME FAIRY CAKE CASES</t>
  </si>
  <si>
    <t>ASSORTED COLOUR BIRD ORNAMENT</t>
  </si>
  <si>
    <t>BROCADE RING PURSE</t>
  </si>
  <si>
    <t>CHILLI LIGHTS</t>
  </si>
  <si>
    <t>JUMBO BAG RED RETROSPOT</t>
  </si>
  <si>
    <t>MEDIUM CERAMIC TOP STORAGE JAR</t>
  </si>
  <si>
    <t>PACK OF 60 PINK PAISLEY CAKE CASES</t>
  </si>
  <si>
    <t>PAPER CHAIN KIT 50'S CHRISTMAS</t>
  </si>
  <si>
    <t>PAPER CRAFT , LITTLE BIRDIE</t>
  </si>
  <si>
    <t>PARTY BUNTING</t>
  </si>
  <si>
    <t>REGENCY CAKESTAND 3 TIER</t>
  </si>
  <si>
    <t>ROTATING SILVER ANGELS T-LIGHT HLDR</t>
  </si>
  <si>
    <t>SMALL POPCORN HOLDER</t>
  </si>
  <si>
    <t>WHITE HANGING HEART T-LIGHT HOLDER</t>
  </si>
  <si>
    <t>WORLD WAR 2 GLIDERS ASSTD DESIGNS</t>
  </si>
  <si>
    <t>RecordType</t>
  </si>
  <si>
    <t>13694</t>
  </si>
  <si>
    <t>14156</t>
  </si>
  <si>
    <t>14646</t>
  </si>
  <si>
    <t>14911</t>
  </si>
  <si>
    <t>16446</t>
  </si>
  <si>
    <t>16684</t>
  </si>
  <si>
    <t>17450</t>
  </si>
  <si>
    <t>17511</t>
  </si>
  <si>
    <t>18102</t>
  </si>
  <si>
    <t>Friday</t>
  </si>
  <si>
    <t>Monday</t>
  </si>
  <si>
    <t>Saturday</t>
  </si>
  <si>
    <t>Sunday</t>
  </si>
  <si>
    <t>Thursday</t>
  </si>
  <si>
    <t>Tuesday</t>
  </si>
  <si>
    <t>Wednesday</t>
  </si>
  <si>
    <t>Month</t>
  </si>
  <si>
    <t xml:space="preserve">Actual Revenue </t>
  </si>
  <si>
    <t>Date</t>
  </si>
  <si>
    <t>Naive Forecast</t>
  </si>
  <si>
    <t>Forecast Error</t>
  </si>
  <si>
    <t>3-Month Moving Average</t>
  </si>
  <si>
    <t>MA Forecast Error</t>
  </si>
  <si>
    <t>ETS Forecast</t>
  </si>
  <si>
    <t>95% Confidence Interval</t>
  </si>
  <si>
    <t>Lower Bound</t>
  </si>
  <si>
    <t>Upper Bound</t>
  </si>
  <si>
    <t>Linear Forecast</t>
  </si>
  <si>
    <t>Test Date</t>
  </si>
  <si>
    <t>Actual Revenue</t>
  </si>
  <si>
    <t>3M MA Forecast</t>
  </si>
  <si>
    <t>Accuracy Metric</t>
  </si>
  <si>
    <t>3M Moving Average</t>
  </si>
  <si>
    <t>Linear</t>
  </si>
  <si>
    <t>ETS</t>
  </si>
  <si>
    <t>MAE</t>
  </si>
  <si>
    <t>RMSE</t>
  </si>
  <si>
    <t>MAPE</t>
  </si>
  <si>
    <t>Naïve</t>
  </si>
  <si>
    <t>Positive Error</t>
  </si>
  <si>
    <t>Negative Error</t>
  </si>
  <si>
    <t>Selected Forecast Model</t>
  </si>
  <si>
    <t>Holdout MAPE</t>
  </si>
  <si>
    <t>Dec-2011 Forecast</t>
  </si>
  <si>
    <t>95% Lower Bound</t>
  </si>
  <si>
    <t>95% Upper Bound</t>
  </si>
  <si>
    <t>Forecasting Conclusion</t>
  </si>
  <si>
    <t>ETS was selected as the final forecasting model because it produced the lowest error across the holdout period. The model achieved approximately 4.3% MAPE, outperforming the naïve, 3-month moving average, and linear forecasting approaches. The December 2011 forecast is approximately ₹12.34 lakh, with a 95% confidence interval of approximately ₹10.47–₹14.21 lakh.</t>
  </si>
  <si>
    <t>Forecasting Limitation</t>
  </si>
  <si>
    <t>The source dataset ends on December 9, 2011, so December 2011 actual revenue represents only a partial month. It should not be used as a normal full-month observation when evaluating forecast performance.</t>
  </si>
  <si>
    <t>Conclusion Table</t>
  </si>
  <si>
    <t>Base Core Orders</t>
  </si>
  <si>
    <t>Base AOV</t>
  </si>
  <si>
    <t>Order Change %</t>
  </si>
  <si>
    <t>AOV Change %</t>
  </si>
  <si>
    <t>Projected Orders</t>
  </si>
  <si>
    <t>Projected AOV</t>
  </si>
  <si>
    <t>Projected Revenue</t>
  </si>
  <si>
    <t>Base Scenario Table</t>
  </si>
  <si>
    <t>Scenario</t>
  </si>
  <si>
    <t>Downside</t>
  </si>
  <si>
    <t>Base</t>
  </si>
  <si>
    <t>Upside</t>
  </si>
  <si>
    <t>Business Interpretation</t>
  </si>
  <si>
    <t>The scenario analysis shows that monthly revenue is sensitive to changes in both order volume and Average Order Value (AOV). Under the base case of 2,097 monthly orders and an AOV of ₹528.11, projected revenue is approximately ₹11.07 lakh.
In the downside scenario, a 10% decline in orders combined with a 5% decline in AOV reduces projected revenue to approximately ₹9.47 lakh. In contrast, a 10% increase in orders combined with a 5% increase in AOV raises projected revenue to approximately ₹12.79 lakh.
The two-variable sensitivity analysis further demonstrates the compounding effect of the two revenue drivers. Across the tested range, projected revenue varies from approximately ₹8.97 lakh when both drivers decline by 10% to approximately ₹13.40 lakh when both increase by 10%.
Goal Seek shows that, if AOV remains unchanged at ₹528.11, monthly order volume would need to increase by approximately 8.36%, from 2,097 to about 2,273 orders, to achieve a monthly revenue target of ₹12 lakh.</t>
  </si>
  <si>
    <t>Business Recommendation</t>
  </si>
  <si>
    <t>Revenue growth does not need to rely on a single lever. Management can pursue a combination of higher order volume and higher AOV through customer acquisition, retention, cross-selling, bundling, and pricing strategies. Because changes in orders and AOV compound, moderate improvements in both can produce a stronger revenue impact than focusing exclusively on one driver.</t>
  </si>
  <si>
    <t>Channel</t>
  </si>
  <si>
    <t>Cost per Order</t>
  </si>
  <si>
    <t>Revenue per Order</t>
  </si>
  <si>
    <t>Max Orders</t>
  </si>
  <si>
    <t>Decision: Orders</t>
  </si>
  <si>
    <t>Marketing Cost</t>
  </si>
  <si>
    <t>Email Marketing</t>
  </si>
  <si>
    <t>Paid Search</t>
  </si>
  <si>
    <t>Social Media</t>
  </si>
  <si>
    <t>Total Marketing Cost</t>
  </si>
  <si>
    <t>Total Projected Revenue</t>
  </si>
  <si>
    <t>Marketing Budget</t>
  </si>
  <si>
    <t>Optimization Result</t>
  </si>
  <si>
    <t>Base Optimal Revenue</t>
  </si>
  <si>
    <t>Base Marketing Cost</t>
  </si>
  <si>
    <t>Value</t>
  </si>
  <si>
    <t>Optimization Conclusion</t>
  </si>
  <si>
    <t>The unrestricted optimization generated maximum projected revenue of £558,860 from a £100,000 marketing budget, prioritizing Email Marketing and Social Media due to their higher revenue generated per unit of marketing spend. When a minimum requirement of 100 Paid Search orders was introduced, optimal projected revenue decreased to £549,625. This represents an opportunity cost of £9,235, or approximately 1.65%. The analysis demonstrates that strategic channel-diversification requirements can be incorporated into the optimization model, while also quantifying the financial trade-off associated with those constraints.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</si>
</sst>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8" formatCode="&quot;₹&quot;\ #,##0.00;[Red]&quot;₹&quot;\ \-#,##0.00"/>
    <numFmt numFmtId="44" formatCode="_ &quot;₹&quot;\ * #,##0.00_ ;_ &quot;₹&quot;\ * \-#,##0.00_ ;_ &quot;₹&quot;\ * &quot;-&quot;??_ ;_ @_ "/>
    <numFmt numFmtId="164" formatCode="0.0,,&quot;M&quot;"/>
    <numFmt numFmtId="165" formatCode="0.0,&quot;K&quot;"/>
    <numFmt numFmtId="166" formatCode="0.00%;\-0.00%;0.00%"/>
    <numFmt numFmtId="167" formatCode="&quot;₹&quot;\ #,##0.00;#,##0.00\ \-&quot;₹&quot;;&quot;₹&quot;\ #,##0.00"/>
    <numFmt numFmtId="168" formatCode="mmm/yyyy"/>
  </numFmts>
  <fonts count="6">
    <font>
      <sz val="11"/>
      <color theme="1"/>
      <name val="Calibri"/>
      <family val="2"/>
      <scheme val="minor"/>
    </font>
    <font>
      <b/>
      <sz val="11"/>
      <color theme="0"/>
      <name val="Calibri"/>
      <family val="2"/>
      <scheme val="minor"/>
    </font>
    <font>
      <b/>
      <sz val="11"/>
      <color theme="1"/>
      <name val="Calibri"/>
      <family val="2"/>
      <scheme val="minor"/>
    </font>
    <font>
      <b/>
      <sz val="20"/>
      <color theme="1"/>
      <name val="Calibri"/>
      <family val="2"/>
      <scheme val="minor"/>
    </font>
    <font>
      <b/>
      <sz val="14"/>
      <color theme="1" tint="0.499984740745262"/>
      <name val="Calibri"/>
      <family val="2"/>
      <scheme val="minor"/>
    </font>
    <font>
      <sz val="10"/>
      <color theme="1"/>
      <name val="Arial Unicode MS"/>
    </font>
  </fonts>
  <fills count="6">
    <fill>
      <patternFill patternType="none"/>
    </fill>
    <fill>
      <patternFill patternType="gray125"/>
    </fill>
    <fill>
      <patternFill patternType="solid">
        <fgColor theme="4" tint="-0.499984740745262"/>
        <bgColor indexed="64"/>
      </patternFill>
    </fill>
    <fill>
      <patternFill patternType="solid">
        <fgColor rgb="FFFFFF00"/>
        <bgColor indexed="64"/>
      </patternFill>
    </fill>
    <fill>
      <patternFill patternType="solid">
        <fgColor rgb="FF00B0F0"/>
        <bgColor indexed="64"/>
      </patternFill>
    </fill>
    <fill>
      <patternFill patternType="solid">
        <fgColor rgb="FF92D050"/>
        <bgColor indexed="64"/>
      </patternFill>
    </fill>
  </fills>
  <borders count="28">
    <border>
      <left/>
      <right/>
      <top/>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s>
  <cellStyleXfs count="1">
    <xf numFmtId="0" fontId="0" fillId="0" borderId="0"/>
  </cellStyleXfs>
  <cellXfs count="91">
    <xf numFmtId="0" fontId="0" fillId="0" borderId="0" xfId="0"/>
    <xf numFmtId="9" fontId="0" fillId="0" borderId="0" xfId="0" applyNumberFormat="1"/>
    <xf numFmtId="10" fontId="0" fillId="0" borderId="0" xfId="0" applyNumberFormat="1"/>
    <xf numFmtId="44" fontId="0" fillId="0" borderId="0" xfId="0" applyNumberFormat="1"/>
    <xf numFmtId="14" fontId="0" fillId="0" borderId="0" xfId="0" applyNumberFormat="1"/>
    <xf numFmtId="164" fontId="0" fillId="0" borderId="0" xfId="0" applyNumberFormat="1"/>
    <xf numFmtId="165" fontId="0" fillId="0" borderId="0" xfId="0" applyNumberFormat="1"/>
    <xf numFmtId="0" fontId="0" fillId="2" borderId="0" xfId="0" applyFill="1" applyAlignment="1">
      <alignment horizontal="centerContinuous"/>
    </xf>
    <xf numFmtId="0" fontId="3" fillId="0" borderId="0" xfId="0" applyFont="1" applyAlignment="1">
      <alignment vertical="center"/>
    </xf>
    <xf numFmtId="0" fontId="0" fillId="0" borderId="0" xfId="0" applyAlignment="1">
      <alignment vertical="center"/>
    </xf>
    <xf numFmtId="0" fontId="1" fillId="2" borderId="0" xfId="0" applyFont="1" applyFill="1" applyAlignment="1">
      <alignment horizontal="centerContinuous" vertical="center"/>
    </xf>
    <xf numFmtId="0" fontId="0" fillId="0" borderId="0" xfId="0" applyAlignment="1">
      <alignment vertical="center" wrapText="1"/>
    </xf>
    <xf numFmtId="0" fontId="4" fillId="0" borderId="1" xfId="0" applyFont="1" applyBorder="1" applyAlignment="1">
      <alignment vertical="center"/>
    </xf>
    <xf numFmtId="0" fontId="0" fillId="0" borderId="1" xfId="0" applyBorder="1"/>
    <xf numFmtId="0" fontId="2" fillId="0" borderId="0" xfId="0" applyFont="1" applyAlignment="1">
      <alignment horizontal="left" vertical="center"/>
    </xf>
    <xf numFmtId="0" fontId="0" fillId="0" borderId="0" xfId="0" applyAlignment="1">
      <alignment horizontal="left"/>
    </xf>
    <xf numFmtId="0" fontId="2" fillId="0" borderId="0" xfId="0" applyFont="1"/>
    <xf numFmtId="0" fontId="0" fillId="0" borderId="0" xfId="0" applyAlignment="1">
      <alignment horizontal="center"/>
    </xf>
    <xf numFmtId="0" fontId="2" fillId="0" borderId="0" xfId="0" applyFont="1" applyAlignment="1">
      <alignment horizontal="center"/>
    </xf>
    <xf numFmtId="0" fontId="2" fillId="0" borderId="0" xfId="0" applyFont="1" applyAlignment="1">
      <alignment horizontal="center" vertical="center"/>
    </xf>
    <xf numFmtId="0" fontId="0" fillId="0" borderId="0" xfId="0" applyAlignment="1">
      <alignment horizontal="center" vertical="center" wrapText="1"/>
    </xf>
    <xf numFmtId="0" fontId="0" fillId="0" borderId="0" xfId="0" applyAlignment="1">
      <alignment horizontal="center" wrapText="1"/>
    </xf>
    <xf numFmtId="0" fontId="2" fillId="0" borderId="0" xfId="0" applyFont="1" applyAlignment="1">
      <alignment horizontal="center" vertical="center" wrapText="1"/>
    </xf>
    <xf numFmtId="0" fontId="0" fillId="0" borderId="0" xfId="0" pivotButton="1"/>
    <xf numFmtId="166" fontId="0" fillId="0" borderId="0" xfId="0" applyNumberFormat="1"/>
    <xf numFmtId="1" fontId="0" fillId="0" borderId="0" xfId="0" applyNumberFormat="1"/>
    <xf numFmtId="167" fontId="0" fillId="0" borderId="0" xfId="0" applyNumberFormat="1"/>
    <xf numFmtId="168" fontId="0" fillId="0" borderId="0" xfId="0" applyNumberFormat="1" applyAlignment="1">
      <alignment horizontal="center"/>
    </xf>
    <xf numFmtId="167" fontId="0" fillId="0" borderId="0" xfId="0" applyNumberFormat="1" applyAlignment="1">
      <alignment horizontal="center"/>
    </xf>
    <xf numFmtId="2" fontId="0" fillId="0" borderId="0" xfId="0" applyNumberFormat="1"/>
    <xf numFmtId="0" fontId="0" fillId="0" borderId="0" xfId="0" applyAlignment="1">
      <alignment horizontal="center" vertical="center"/>
    </xf>
    <xf numFmtId="2" fontId="2" fillId="0" borderId="0" xfId="0" applyNumberFormat="1" applyFont="1" applyAlignment="1">
      <alignment horizontal="center" vertical="center"/>
    </xf>
    <xf numFmtId="2" fontId="0" fillId="0" borderId="0" xfId="0" applyNumberFormat="1" applyAlignment="1">
      <alignment horizontal="center"/>
    </xf>
    <xf numFmtId="168" fontId="0" fillId="0" borderId="0" xfId="0" applyNumberFormat="1" applyAlignment="1">
      <alignment horizontal="center" vertical="center"/>
    </xf>
    <xf numFmtId="167" fontId="0" fillId="0" borderId="0" xfId="0" applyNumberFormat="1" applyAlignment="1">
      <alignment horizontal="center" vertical="center"/>
    </xf>
    <xf numFmtId="0" fontId="5" fillId="0" borderId="0" xfId="0" applyFont="1" applyAlignment="1">
      <alignment vertical="center" wrapText="1"/>
    </xf>
    <xf numFmtId="0" fontId="2" fillId="0" borderId="3" xfId="0" applyFont="1" applyBorder="1" applyAlignment="1">
      <alignment horizontal="center"/>
    </xf>
    <xf numFmtId="0" fontId="2" fillId="0" borderId="4" xfId="0" applyFont="1" applyBorder="1" applyAlignment="1">
      <alignment horizontal="center"/>
    </xf>
    <xf numFmtId="0" fontId="2" fillId="0" borderId="5" xfId="0" applyFont="1" applyBorder="1" applyAlignment="1">
      <alignment horizontal="center"/>
    </xf>
    <xf numFmtId="0" fontId="0" fillId="0" borderId="6" xfId="0" applyBorder="1" applyAlignment="1">
      <alignment horizontal="center"/>
    </xf>
    <xf numFmtId="10" fontId="0" fillId="0" borderId="7" xfId="0" applyNumberFormat="1" applyBorder="1" applyAlignment="1">
      <alignment horizontal="center"/>
    </xf>
    <xf numFmtId="8" fontId="0" fillId="0" borderId="7" xfId="0" applyNumberFormat="1" applyBorder="1" applyAlignment="1">
      <alignment horizontal="center"/>
    </xf>
    <xf numFmtId="8" fontId="0" fillId="0" borderId="8" xfId="0" applyNumberFormat="1" applyBorder="1" applyAlignment="1">
      <alignment horizontal="center"/>
    </xf>
    <xf numFmtId="0" fontId="0" fillId="0" borderId="0" xfId="0" applyAlignment="1">
      <alignment wrapText="1"/>
    </xf>
    <xf numFmtId="0" fontId="2" fillId="3" borderId="2" xfId="0" applyFont="1" applyFill="1" applyBorder="1" applyAlignment="1">
      <alignment horizontal="left"/>
    </xf>
    <xf numFmtId="0" fontId="2" fillId="4" borderId="12" xfId="0" applyFont="1" applyFill="1" applyBorder="1"/>
    <xf numFmtId="0" fontId="2" fillId="5" borderId="2" xfId="0" applyFont="1" applyFill="1" applyBorder="1"/>
    <xf numFmtId="0" fontId="0" fillId="0" borderId="14" xfId="0" applyBorder="1" applyAlignment="1">
      <alignment horizontal="center" vertical="center"/>
    </xf>
    <xf numFmtId="9" fontId="0" fillId="0" borderId="14" xfId="0" applyNumberFormat="1" applyBorder="1" applyAlignment="1">
      <alignment horizontal="center" vertical="center"/>
    </xf>
    <xf numFmtId="0" fontId="2" fillId="0" borderId="15" xfId="0" applyFont="1" applyBorder="1" applyAlignment="1">
      <alignment horizontal="center" vertical="center"/>
    </xf>
    <xf numFmtId="0" fontId="2" fillId="0" borderId="16" xfId="0" applyFont="1" applyBorder="1" applyAlignment="1">
      <alignment horizontal="center" vertical="center"/>
    </xf>
    <xf numFmtId="0" fontId="2" fillId="0" borderId="17" xfId="0" applyFont="1" applyBorder="1" applyAlignment="1">
      <alignment horizontal="center" vertical="center"/>
    </xf>
    <xf numFmtId="3" fontId="0" fillId="0" borderId="5" xfId="0" applyNumberFormat="1" applyBorder="1" applyAlignment="1">
      <alignment horizontal="center" vertical="center"/>
    </xf>
    <xf numFmtId="8" fontId="0" fillId="0" borderId="14" xfId="0" applyNumberFormat="1" applyBorder="1" applyAlignment="1">
      <alignment horizontal="center" vertical="center"/>
    </xf>
    <xf numFmtId="8" fontId="0" fillId="0" borderId="8" xfId="0" applyNumberFormat="1" applyBorder="1" applyAlignment="1">
      <alignment horizontal="center" vertical="center" wrapText="1"/>
    </xf>
    <xf numFmtId="0" fontId="0" fillId="3" borderId="2" xfId="0" applyFill="1" applyBorder="1"/>
    <xf numFmtId="0" fontId="2" fillId="0" borderId="9" xfId="0" applyFont="1" applyBorder="1" applyAlignment="1">
      <alignment horizontal="center" vertical="center"/>
    </xf>
    <xf numFmtId="0" fontId="2" fillId="0" borderId="10" xfId="0" applyFont="1" applyBorder="1" applyAlignment="1">
      <alignment horizontal="center" vertical="center"/>
    </xf>
    <xf numFmtId="0" fontId="2" fillId="0" borderId="11" xfId="0" applyFont="1" applyBorder="1" applyAlignment="1">
      <alignment horizontal="center" vertical="center"/>
    </xf>
    <xf numFmtId="0" fontId="0" fillId="0" borderId="13" xfId="0" applyBorder="1" applyAlignment="1">
      <alignment horizontal="center"/>
    </xf>
    <xf numFmtId="9" fontId="0" fillId="0" borderId="0" xfId="0" applyNumberFormat="1" applyAlignment="1">
      <alignment horizontal="center" vertical="center" wrapText="1"/>
    </xf>
    <xf numFmtId="9" fontId="0" fillId="0" borderId="0" xfId="0" applyNumberFormat="1" applyAlignment="1">
      <alignment horizontal="center"/>
    </xf>
    <xf numFmtId="9" fontId="0" fillId="0" borderId="7" xfId="0" applyNumberFormat="1" applyBorder="1" applyAlignment="1">
      <alignment horizontal="center"/>
    </xf>
    <xf numFmtId="8" fontId="0" fillId="0" borderId="14" xfId="0" applyNumberFormat="1" applyBorder="1" applyAlignment="1">
      <alignment horizontal="center"/>
    </xf>
    <xf numFmtId="8" fontId="2" fillId="0" borderId="19" xfId="0" applyNumberFormat="1" applyFont="1" applyBorder="1" applyAlignment="1">
      <alignment horizontal="center"/>
    </xf>
    <xf numFmtId="9" fontId="2" fillId="0" borderId="20" xfId="0" applyNumberFormat="1" applyFont="1" applyBorder="1" applyAlignment="1">
      <alignment horizontal="center"/>
    </xf>
    <xf numFmtId="9" fontId="2" fillId="0" borderId="21" xfId="0" applyNumberFormat="1" applyFont="1" applyBorder="1" applyAlignment="1">
      <alignment horizontal="center"/>
    </xf>
    <xf numFmtId="9" fontId="2" fillId="0" borderId="22" xfId="0" applyNumberFormat="1" applyFont="1" applyBorder="1" applyAlignment="1">
      <alignment horizontal="center" vertical="center" wrapText="1"/>
    </xf>
    <xf numFmtId="0" fontId="0" fillId="0" borderId="14" xfId="0" applyBorder="1" applyAlignment="1">
      <alignment horizontal="center"/>
    </xf>
    <xf numFmtId="9" fontId="2" fillId="0" borderId="23" xfId="0" applyNumberFormat="1" applyFont="1" applyBorder="1" applyAlignment="1">
      <alignment horizontal="center" vertical="center" wrapText="1"/>
    </xf>
    <xf numFmtId="9" fontId="2" fillId="0" borderId="24" xfId="0" applyNumberFormat="1" applyFont="1" applyBorder="1" applyAlignment="1">
      <alignment horizontal="center" vertical="center" wrapText="1"/>
    </xf>
    <xf numFmtId="0" fontId="0" fillId="0" borderId="7" xfId="0" applyBorder="1" applyAlignment="1">
      <alignment horizontal="center"/>
    </xf>
    <xf numFmtId="0" fontId="0" fillId="0" borderId="8" xfId="0" applyBorder="1" applyAlignment="1">
      <alignment horizontal="center"/>
    </xf>
    <xf numFmtId="9" fontId="0" fillId="0" borderId="18" xfId="0" applyNumberFormat="1" applyBorder="1" applyAlignment="1">
      <alignment horizontal="center" vertical="center"/>
    </xf>
    <xf numFmtId="0" fontId="0" fillId="0" borderId="18" xfId="0" applyBorder="1" applyAlignment="1">
      <alignment horizontal="center" vertical="center"/>
    </xf>
    <xf numFmtId="0" fontId="2" fillId="3" borderId="18" xfId="0" applyFont="1" applyFill="1" applyBorder="1" applyAlignment="1">
      <alignment horizontal="center" vertical="center"/>
    </xf>
    <xf numFmtId="8" fontId="2" fillId="3" borderId="18" xfId="0" applyNumberFormat="1" applyFont="1" applyFill="1" applyBorder="1" applyAlignment="1">
      <alignment horizontal="center" vertical="center"/>
    </xf>
    <xf numFmtId="0" fontId="0" fillId="0" borderId="9" xfId="0" applyBorder="1" applyAlignment="1">
      <alignment vertical="top" wrapText="1"/>
    </xf>
    <xf numFmtId="0" fontId="0" fillId="0" borderId="10" xfId="0" applyBorder="1" applyAlignment="1">
      <alignment vertical="top" wrapText="1"/>
    </xf>
    <xf numFmtId="0" fontId="0" fillId="0" borderId="11" xfId="0" applyBorder="1" applyAlignment="1">
      <alignment vertical="top" wrapText="1"/>
    </xf>
    <xf numFmtId="0" fontId="2" fillId="3" borderId="3" xfId="0" applyFont="1" applyFill="1" applyBorder="1"/>
    <xf numFmtId="0" fontId="2" fillId="3" borderId="5" xfId="0" applyFont="1" applyFill="1" applyBorder="1"/>
    <xf numFmtId="0" fontId="2" fillId="3" borderId="9" xfId="0" applyFont="1" applyFill="1" applyBorder="1"/>
    <xf numFmtId="0" fontId="2" fillId="3" borderId="11" xfId="0" applyFont="1" applyFill="1" applyBorder="1"/>
    <xf numFmtId="0" fontId="2" fillId="3" borderId="0" xfId="0" applyFont="1" applyFill="1" applyAlignment="1">
      <alignment horizontal="center"/>
    </xf>
    <xf numFmtId="0" fontId="2" fillId="3" borderId="25" xfId="0" applyFont="1" applyFill="1" applyBorder="1" applyAlignment="1">
      <alignment horizontal="center" vertical="center"/>
    </xf>
    <xf numFmtId="0" fontId="2" fillId="3" borderId="26" xfId="0" applyFont="1" applyFill="1" applyBorder="1" applyAlignment="1">
      <alignment horizontal="center" vertical="center"/>
    </xf>
    <xf numFmtId="0" fontId="2" fillId="3" borderId="27" xfId="0" applyFont="1" applyFill="1" applyBorder="1" applyAlignment="1">
      <alignment horizontal="center" vertical="center"/>
    </xf>
    <xf numFmtId="0" fontId="2" fillId="3" borderId="9" xfId="0" applyFont="1" applyFill="1" applyBorder="1" applyAlignment="1">
      <alignment horizontal="center" vertical="center"/>
    </xf>
    <xf numFmtId="0" fontId="2" fillId="3" borderId="11" xfId="0" applyFont="1" applyFill="1" applyBorder="1" applyAlignment="1">
      <alignment horizontal="center" vertical="center"/>
    </xf>
    <xf numFmtId="0" fontId="0" fillId="0" borderId="0" xfId="0" applyAlignment="1">
      <alignment vertical="top" wrapText="1"/>
    </xf>
  </cellXfs>
  <cellStyles count="1">
    <cellStyle name="Normal" xfId="0" builtinId="0"/>
  </cellStyles>
  <dxfs count="5">
    <dxf>
      <fill>
        <patternFill>
          <bgColor theme="8" tint="0.79998168889431442"/>
        </patternFill>
      </fill>
    </dxf>
    <dxf>
      <fill>
        <patternFill>
          <bgColor theme="5" tint="0.59996337778862885"/>
        </patternFill>
      </fill>
    </dxf>
    <dxf>
      <numFmt numFmtId="0" formatCode="General"/>
    </dxf>
    <dxf>
      <numFmt numFmtId="0" formatCode="General"/>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pivotCacheDefinition" Target="pivotCache/pivotCacheDefinition4.xml"/><Relationship Id="rId26" Type="http://schemas.openxmlformats.org/officeDocument/2006/relationships/pivotCacheDefinition" Target="pivotCache/pivotCacheDefinition12.xml"/><Relationship Id="rId39" Type="http://schemas.openxmlformats.org/officeDocument/2006/relationships/customXml" Target="../customXml/item5.xml"/><Relationship Id="rId21" Type="http://schemas.openxmlformats.org/officeDocument/2006/relationships/pivotCacheDefinition" Target="pivotCache/pivotCacheDefinition7.xml"/><Relationship Id="rId34" Type="http://schemas.openxmlformats.org/officeDocument/2006/relationships/calcChain" Target="calcChain.xml"/><Relationship Id="rId42" Type="http://schemas.openxmlformats.org/officeDocument/2006/relationships/customXml" Target="../customXml/item8.xml"/><Relationship Id="rId47" Type="http://schemas.openxmlformats.org/officeDocument/2006/relationships/customXml" Target="../customXml/item13.xml"/><Relationship Id="rId50" Type="http://schemas.openxmlformats.org/officeDocument/2006/relationships/customXml" Target="../customXml/item16.xml"/><Relationship Id="rId55" Type="http://schemas.openxmlformats.org/officeDocument/2006/relationships/customXml" Target="../customXml/item2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9" Type="http://schemas.openxmlformats.org/officeDocument/2006/relationships/connections" Target="connections.xml"/><Relationship Id="rId11" Type="http://schemas.openxmlformats.org/officeDocument/2006/relationships/worksheet" Target="worksheets/sheet11.xml"/><Relationship Id="rId24" Type="http://schemas.openxmlformats.org/officeDocument/2006/relationships/pivotCacheDefinition" Target="pivotCache/pivotCacheDefinition10.xml"/><Relationship Id="rId32" Type="http://schemas.openxmlformats.org/officeDocument/2006/relationships/sheetMetadata" Target="metadata.xml"/><Relationship Id="rId37" Type="http://schemas.openxmlformats.org/officeDocument/2006/relationships/customXml" Target="../customXml/item3.xml"/><Relationship Id="rId40" Type="http://schemas.openxmlformats.org/officeDocument/2006/relationships/customXml" Target="../customXml/item6.xml"/><Relationship Id="rId45" Type="http://schemas.openxmlformats.org/officeDocument/2006/relationships/customXml" Target="../customXml/item11.xml"/><Relationship Id="rId53" Type="http://schemas.openxmlformats.org/officeDocument/2006/relationships/customXml" Target="../customXml/item19.xml"/><Relationship Id="rId58" Type="http://schemas.openxmlformats.org/officeDocument/2006/relationships/customXml" Target="../customXml/item24.xml"/><Relationship Id="rId5" Type="http://schemas.openxmlformats.org/officeDocument/2006/relationships/worksheet" Target="worksheets/sheet5.xml"/><Relationship Id="rId19" Type="http://schemas.openxmlformats.org/officeDocument/2006/relationships/pivotCacheDefinition" Target="pivotCache/pivotCacheDefinition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8.xml"/><Relationship Id="rId27" Type="http://schemas.openxmlformats.org/officeDocument/2006/relationships/pivotCacheDefinition" Target="pivotCache/pivotCacheDefinition13.xml"/><Relationship Id="rId30" Type="http://schemas.openxmlformats.org/officeDocument/2006/relationships/styles" Target="styles.xml"/><Relationship Id="rId35" Type="http://schemas.openxmlformats.org/officeDocument/2006/relationships/customXml" Target="../customXml/item1.xml"/><Relationship Id="rId43" Type="http://schemas.openxmlformats.org/officeDocument/2006/relationships/customXml" Target="../customXml/item9.xml"/><Relationship Id="rId48" Type="http://schemas.openxmlformats.org/officeDocument/2006/relationships/customXml" Target="../customXml/item14.xml"/><Relationship Id="rId56" Type="http://schemas.openxmlformats.org/officeDocument/2006/relationships/customXml" Target="../customXml/item22.xml"/><Relationship Id="rId8" Type="http://schemas.openxmlformats.org/officeDocument/2006/relationships/worksheet" Target="worksheets/sheet8.xml"/><Relationship Id="rId51" Type="http://schemas.openxmlformats.org/officeDocument/2006/relationships/customXml" Target="../customXml/item17.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3.xml"/><Relationship Id="rId25" Type="http://schemas.openxmlformats.org/officeDocument/2006/relationships/pivotCacheDefinition" Target="pivotCache/pivotCacheDefinition11.xml"/><Relationship Id="rId33" Type="http://schemas.openxmlformats.org/officeDocument/2006/relationships/powerPivotData" Target="model/item.data"/><Relationship Id="rId38" Type="http://schemas.openxmlformats.org/officeDocument/2006/relationships/customXml" Target="../customXml/item4.xml"/><Relationship Id="rId46" Type="http://schemas.openxmlformats.org/officeDocument/2006/relationships/customXml" Target="../customXml/item12.xml"/><Relationship Id="rId59" Type="http://schemas.openxmlformats.org/officeDocument/2006/relationships/customXml" Target="../customXml/item25.xml"/><Relationship Id="rId20" Type="http://schemas.openxmlformats.org/officeDocument/2006/relationships/pivotCacheDefinition" Target="pivotCache/pivotCacheDefinition6.xml"/><Relationship Id="rId41" Type="http://schemas.openxmlformats.org/officeDocument/2006/relationships/customXml" Target="../customXml/item7.xml"/><Relationship Id="rId54" Type="http://schemas.openxmlformats.org/officeDocument/2006/relationships/customXml" Target="../customXml/item20.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1.xml"/><Relationship Id="rId23" Type="http://schemas.openxmlformats.org/officeDocument/2006/relationships/pivotCacheDefinition" Target="pivotCache/pivotCacheDefinition9.xml"/><Relationship Id="rId28" Type="http://schemas.openxmlformats.org/officeDocument/2006/relationships/theme" Target="theme/theme1.xml"/><Relationship Id="rId36" Type="http://schemas.openxmlformats.org/officeDocument/2006/relationships/customXml" Target="../customXml/item2.xml"/><Relationship Id="rId49" Type="http://schemas.openxmlformats.org/officeDocument/2006/relationships/customXml" Target="../customXml/item15.xml"/><Relationship Id="rId57" Type="http://schemas.openxmlformats.org/officeDocument/2006/relationships/customXml" Target="../customXml/item23.xml"/><Relationship Id="rId10" Type="http://schemas.openxmlformats.org/officeDocument/2006/relationships/worksheet" Target="worksheets/sheet10.xml"/><Relationship Id="rId31" Type="http://schemas.openxmlformats.org/officeDocument/2006/relationships/sharedStrings" Target="sharedStrings.xml"/><Relationship Id="rId44" Type="http://schemas.openxmlformats.org/officeDocument/2006/relationships/customXml" Target="../customXml/item10.xml"/><Relationship Id="rId52" Type="http://schemas.openxmlformats.org/officeDocument/2006/relationships/customXml" Target="../customXml/item1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[Business_Intelligence_Model.xlsx]04_COUNTRY_ANALYSIS!PivotTable2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Top 10 Countries by Core Sales Revenue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'04_COUNTRY_ANALYSIS'!$AD$4</c:f>
              <c:strCache>
                <c:ptCount val="1"/>
                <c:pt idx="0">
                  <c:v>Total</c:v>
                </c:pt>
              </c:strCache>
            </c:strRef>
          </c:tx>
          <c:spPr>
            <a:solidFill>
              <a:schemeClr val="accent1"/>
            </a:solidFill>
            <a:ln>
              <a:noFill/>
            </a:ln>
            <a:effectLst/>
          </c:spPr>
          <c:invertIfNegative val="0"/>
          <c:cat>
            <c:strRef>
              <c:f>'04_COUNTRY_ANALYSIS'!$AC$5:$AC$15</c:f>
              <c:strCache>
                <c:ptCount val="10"/>
                <c:pt idx="0">
                  <c:v>United Kingdom</c:v>
                </c:pt>
                <c:pt idx="1">
                  <c:v>Ireland</c:v>
                </c:pt>
                <c:pt idx="2">
                  <c:v>Netherlands</c:v>
                </c:pt>
                <c:pt idx="3">
                  <c:v>Germany</c:v>
                </c:pt>
                <c:pt idx="4">
                  <c:v>France</c:v>
                </c:pt>
                <c:pt idx="5">
                  <c:v>Australia</c:v>
                </c:pt>
                <c:pt idx="6">
                  <c:v>Spain</c:v>
                </c:pt>
                <c:pt idx="7">
                  <c:v>Switzerland</c:v>
                </c:pt>
                <c:pt idx="8">
                  <c:v>Sweden</c:v>
                </c:pt>
                <c:pt idx="9">
                  <c:v>Denmark</c:v>
                </c:pt>
              </c:strCache>
            </c:strRef>
          </c:cat>
          <c:val>
            <c:numRef>
              <c:f>'04_COUNTRY_ANALYSIS'!$AD$5:$AD$15</c:f>
              <c:numCache>
                <c:formatCode>"₹"\ #,##0.00;#,##0.00\ \-"₹";"₹"\ #,##0.00</c:formatCode>
                <c:ptCount val="10"/>
                <c:pt idx="0">
                  <c:v>17281229.077000007</c:v>
                </c:pt>
                <c:pt idx="1">
                  <c:v>640571.99999999953</c:v>
                </c:pt>
                <c:pt idx="2">
                  <c:v>549952.65999999922</c:v>
                </c:pt>
                <c:pt idx="3">
                  <c:v>388959.99100000132</c:v>
                </c:pt>
                <c:pt idx="4">
                  <c:v>317401.52999999974</c:v>
                </c:pt>
                <c:pt idx="5">
                  <c:v>168484.65999999989</c:v>
                </c:pt>
                <c:pt idx="6">
                  <c:v>98840.540000000037</c:v>
                </c:pt>
                <c:pt idx="7">
                  <c:v>94270.289999999746</c:v>
                </c:pt>
                <c:pt idx="8">
                  <c:v>86353.040000000008</c:v>
                </c:pt>
                <c:pt idx="9">
                  <c:v>68560.190000000017</c:v>
                </c:pt>
              </c:numCache>
            </c:numRef>
          </c:val>
          <c:extLst>
            <c:ext xmlns:c16="http://schemas.microsoft.com/office/drawing/2014/chart" uri="{C3380CC4-5D6E-409C-BE32-E72D297353CC}">
              <c16:uniqueId val="{00000000-8E1A-4FC2-A4B5-E5396E21CCC0}"/>
            </c:ext>
          </c:extLst>
        </c:ser>
        <c:dLbls>
          <c:showLegendKey val="0"/>
          <c:showVal val="0"/>
          <c:showCatName val="0"/>
          <c:showSerName val="0"/>
          <c:showPercent val="0"/>
          <c:showBubbleSize val="0"/>
        </c:dLbls>
        <c:gapWidth val="182"/>
        <c:axId val="1695266848"/>
        <c:axId val="1695271648"/>
      </c:barChart>
      <c:catAx>
        <c:axId val="1695266848"/>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5271648"/>
        <c:crosses val="autoZero"/>
        <c:auto val="1"/>
        <c:lblAlgn val="ctr"/>
        <c:lblOffset val="100"/>
        <c:noMultiLvlLbl val="0"/>
      </c:catAx>
      <c:valAx>
        <c:axId val="1695271648"/>
        <c:scaling>
          <c:orientation val="minMax"/>
        </c:scaling>
        <c:delete val="0"/>
        <c:axPos val="t"/>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52668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[Business_Intelligence_Model.xlsx]06_REVENUE_ANALYSIS!PivotTable3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Monthly Core Sales Revenue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'06_REVENUE_ANALYSIS'!$C$3</c:f>
              <c:strCache>
                <c:ptCount val="1"/>
                <c:pt idx="0">
                  <c:v>Core Sales Revenue</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'06_REVENUE_ANALYSIS'!$B$4:$B$29</c:f>
              <c:strCache>
                <c:ptCount val="25"/>
                <c:pt idx="0">
                  <c:v>2009-12</c:v>
                </c:pt>
                <c:pt idx="1">
                  <c:v>2010-01</c:v>
                </c:pt>
                <c:pt idx="2">
                  <c:v>2010-02</c:v>
                </c:pt>
                <c:pt idx="3">
                  <c:v>2010-03</c:v>
                </c:pt>
                <c:pt idx="4">
                  <c:v>2010-04</c:v>
                </c:pt>
                <c:pt idx="5">
                  <c:v>2010-05</c:v>
                </c:pt>
                <c:pt idx="6">
                  <c:v>2010-06</c:v>
                </c:pt>
                <c:pt idx="7">
                  <c:v>2010-07</c:v>
                </c:pt>
                <c:pt idx="8">
                  <c:v>2010-08</c:v>
                </c:pt>
                <c:pt idx="9">
                  <c:v>2010-09</c:v>
                </c:pt>
                <c:pt idx="10">
                  <c:v>2010-10</c:v>
                </c:pt>
                <c:pt idx="11">
                  <c:v>2010-11</c:v>
                </c:pt>
                <c:pt idx="12">
                  <c:v>2010-12</c:v>
                </c:pt>
                <c:pt idx="13">
                  <c:v>2011-01</c:v>
                </c:pt>
                <c:pt idx="14">
                  <c:v>2011-02</c:v>
                </c:pt>
                <c:pt idx="15">
                  <c:v>2011-03</c:v>
                </c:pt>
                <c:pt idx="16">
                  <c:v>2011-04</c:v>
                </c:pt>
                <c:pt idx="17">
                  <c:v>2011-05</c:v>
                </c:pt>
                <c:pt idx="18">
                  <c:v>2011-06</c:v>
                </c:pt>
                <c:pt idx="19">
                  <c:v>2011-07</c:v>
                </c:pt>
                <c:pt idx="20">
                  <c:v>2011-08</c:v>
                </c:pt>
                <c:pt idx="21">
                  <c:v>2011-09</c:v>
                </c:pt>
                <c:pt idx="22">
                  <c:v>2011-10</c:v>
                </c:pt>
                <c:pt idx="23">
                  <c:v>2011-11</c:v>
                </c:pt>
                <c:pt idx="24">
                  <c:v>2011-12</c:v>
                </c:pt>
              </c:strCache>
            </c:strRef>
          </c:cat>
          <c:val>
            <c:numRef>
              <c:f>'06_REVENUE_ANALYSIS'!$C$4:$C$29</c:f>
              <c:numCache>
                <c:formatCode>"₹"\ #,##0.00;#,##0.00\ \-"₹";"₹"\ #,##0.00</c:formatCode>
                <c:ptCount val="25"/>
                <c:pt idx="0">
                  <c:v>801948.83999999624</c:v>
                </c:pt>
                <c:pt idx="1">
                  <c:v>623056.82199999923</c:v>
                </c:pt>
                <c:pt idx="2">
                  <c:v>539982.65599999763</c:v>
                </c:pt>
                <c:pt idx="3">
                  <c:v>764776.40099999832</c:v>
                </c:pt>
                <c:pt idx="4">
                  <c:v>649657.38199999614</c:v>
                </c:pt>
                <c:pt idx="5">
                  <c:v>646160.22999999614</c:v>
                </c:pt>
                <c:pt idx="6">
                  <c:v>700597.6999999932</c:v>
                </c:pt>
                <c:pt idx="7">
                  <c:v>635802.0899999988</c:v>
                </c:pt>
                <c:pt idx="8">
                  <c:v>677102.88999999745</c:v>
                </c:pt>
                <c:pt idx="9">
                  <c:v>872407.38099999889</c:v>
                </c:pt>
                <c:pt idx="10">
                  <c:v>1098995.3199999968</c:v>
                </c:pt>
                <c:pt idx="11">
                  <c:v>1443879.162000007</c:v>
                </c:pt>
                <c:pt idx="12">
                  <c:v>1215200.1300000055</c:v>
                </c:pt>
                <c:pt idx="13">
                  <c:v>672207.40999999957</c:v>
                </c:pt>
                <c:pt idx="14">
                  <c:v>509167.87000000046</c:v>
                </c:pt>
                <c:pt idx="15">
                  <c:v>692235.699999996</c:v>
                </c:pt>
                <c:pt idx="16">
                  <c:v>516754.79100000113</c:v>
                </c:pt>
                <c:pt idx="17">
                  <c:v>741726.73999999673</c:v>
                </c:pt>
                <c:pt idx="18">
                  <c:v>739426.87999999954</c:v>
                </c:pt>
                <c:pt idx="19">
                  <c:v>689947.74099999934</c:v>
                </c:pt>
                <c:pt idx="20">
                  <c:v>726005.16000000131</c:v>
                </c:pt>
                <c:pt idx="21">
                  <c:v>1031430.3619999947</c:v>
                </c:pt>
                <c:pt idx="22">
                  <c:v>1107449.5399999942</c:v>
                </c:pt>
                <c:pt idx="23">
                  <c:v>1458925.529999997</c:v>
                </c:pt>
                <c:pt idx="24">
                  <c:v>615716.60000000417</c:v>
                </c:pt>
              </c:numCache>
            </c:numRef>
          </c:val>
          <c:smooth val="0"/>
          <c:extLst>
            <c:ext xmlns:c16="http://schemas.microsoft.com/office/drawing/2014/chart" uri="{C3380CC4-5D6E-409C-BE32-E72D297353CC}">
              <c16:uniqueId val="{00000000-E767-4620-861F-7D540F3E2270}"/>
            </c:ext>
          </c:extLst>
        </c:ser>
        <c:ser>
          <c:idx val="1"/>
          <c:order val="1"/>
          <c:tx>
            <c:strRef>
              <c:f>'06_REVENUE_ANALYSIS'!$D$3</c:f>
              <c:strCache>
                <c:ptCount val="1"/>
                <c:pt idx="0">
                  <c:v>Average Order Value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'06_REVENUE_ANALYSIS'!$B$4:$B$29</c:f>
              <c:strCache>
                <c:ptCount val="25"/>
                <c:pt idx="0">
                  <c:v>2009-12</c:v>
                </c:pt>
                <c:pt idx="1">
                  <c:v>2010-01</c:v>
                </c:pt>
                <c:pt idx="2">
                  <c:v>2010-02</c:v>
                </c:pt>
                <c:pt idx="3">
                  <c:v>2010-03</c:v>
                </c:pt>
                <c:pt idx="4">
                  <c:v>2010-04</c:v>
                </c:pt>
                <c:pt idx="5">
                  <c:v>2010-05</c:v>
                </c:pt>
                <c:pt idx="6">
                  <c:v>2010-06</c:v>
                </c:pt>
                <c:pt idx="7">
                  <c:v>2010-07</c:v>
                </c:pt>
                <c:pt idx="8">
                  <c:v>2010-08</c:v>
                </c:pt>
                <c:pt idx="9">
                  <c:v>2010-09</c:v>
                </c:pt>
                <c:pt idx="10">
                  <c:v>2010-10</c:v>
                </c:pt>
                <c:pt idx="11">
                  <c:v>2010-11</c:v>
                </c:pt>
                <c:pt idx="12">
                  <c:v>2010-12</c:v>
                </c:pt>
                <c:pt idx="13">
                  <c:v>2011-01</c:v>
                </c:pt>
                <c:pt idx="14">
                  <c:v>2011-02</c:v>
                </c:pt>
                <c:pt idx="15">
                  <c:v>2011-03</c:v>
                </c:pt>
                <c:pt idx="16">
                  <c:v>2011-04</c:v>
                </c:pt>
                <c:pt idx="17">
                  <c:v>2011-05</c:v>
                </c:pt>
                <c:pt idx="18">
                  <c:v>2011-06</c:v>
                </c:pt>
                <c:pt idx="19">
                  <c:v>2011-07</c:v>
                </c:pt>
                <c:pt idx="20">
                  <c:v>2011-08</c:v>
                </c:pt>
                <c:pt idx="21">
                  <c:v>2011-09</c:v>
                </c:pt>
                <c:pt idx="22">
                  <c:v>2011-10</c:v>
                </c:pt>
                <c:pt idx="23">
                  <c:v>2011-11</c:v>
                </c:pt>
                <c:pt idx="24">
                  <c:v>2011-12</c:v>
                </c:pt>
              </c:strCache>
            </c:strRef>
          </c:cat>
          <c:val>
            <c:numRef>
              <c:f>'06_REVENUE_ANALYSIS'!$D$4:$D$29</c:f>
              <c:numCache>
                <c:formatCode>"₹"\ #,##0.00;#,##0.00\ \-"₹";"₹"\ #,##0.00</c:formatCode>
                <c:ptCount val="25"/>
                <c:pt idx="0">
                  <c:v>438.46300710770709</c:v>
                </c:pt>
                <c:pt idx="1">
                  <c:v>524.0175121951213</c:v>
                </c:pt>
                <c:pt idx="2">
                  <c:v>425.18319370078552</c:v>
                </c:pt>
                <c:pt idx="3">
                  <c:v>440.28578065630302</c:v>
                </c:pt>
                <c:pt idx="4">
                  <c:v>435.71923675385386</c:v>
                </c:pt>
                <c:pt idx="5">
                  <c:v>396.41731901840257</c:v>
                </c:pt>
                <c:pt idx="6">
                  <c:v>414.06483451536241</c:v>
                </c:pt>
                <c:pt idx="7">
                  <c:v>405.74479259731896</c:v>
                </c:pt>
                <c:pt idx="8">
                  <c:v>452.91163210702172</c:v>
                </c:pt>
                <c:pt idx="9">
                  <c:v>468.02971083690926</c:v>
                </c:pt>
                <c:pt idx="10">
                  <c:v>474.31822183858299</c:v>
                </c:pt>
                <c:pt idx="11">
                  <c:v>507.51464393673359</c:v>
                </c:pt>
                <c:pt idx="12">
                  <c:v>747.81546461538801</c:v>
                </c:pt>
                <c:pt idx="13">
                  <c:v>602.87660089686062</c:v>
                </c:pt>
                <c:pt idx="14">
                  <c:v>454.20862622658382</c:v>
                </c:pt>
                <c:pt idx="15">
                  <c:v>456.01824769433199</c:v>
                </c:pt>
                <c:pt idx="16">
                  <c:v>394.77065775401155</c:v>
                </c:pt>
                <c:pt idx="17">
                  <c:v>431.23647674418413</c:v>
                </c:pt>
                <c:pt idx="18">
                  <c:v>471.27270873167595</c:v>
                </c:pt>
                <c:pt idx="19">
                  <c:v>454.81064007910305</c:v>
                </c:pt>
                <c:pt idx="20">
                  <c:v>523.43558759913572</c:v>
                </c:pt>
                <c:pt idx="21">
                  <c:v>549.21744515441674</c:v>
                </c:pt>
                <c:pt idx="22">
                  <c:v>528.11136862183798</c:v>
                </c:pt>
                <c:pt idx="23">
                  <c:v>508.86833972793755</c:v>
                </c:pt>
                <c:pt idx="24">
                  <c:v>735.62317801673134</c:v>
                </c:pt>
              </c:numCache>
            </c:numRef>
          </c:val>
          <c:smooth val="0"/>
          <c:extLst>
            <c:ext xmlns:c16="http://schemas.microsoft.com/office/drawing/2014/chart" uri="{C3380CC4-5D6E-409C-BE32-E72D297353CC}">
              <c16:uniqueId val="{00000000-6B0F-4902-9585-9D38FA309AEA}"/>
            </c:ext>
          </c:extLst>
        </c:ser>
        <c:ser>
          <c:idx val="2"/>
          <c:order val="2"/>
          <c:tx>
            <c:strRef>
              <c:f>'06_REVENUE_ANALYSIS'!$E$3</c:f>
              <c:strCache>
                <c:ptCount val="1"/>
                <c:pt idx="0">
                  <c:v>Core Orders</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'06_REVENUE_ANALYSIS'!$B$4:$B$29</c:f>
              <c:strCache>
                <c:ptCount val="25"/>
                <c:pt idx="0">
                  <c:v>2009-12</c:v>
                </c:pt>
                <c:pt idx="1">
                  <c:v>2010-01</c:v>
                </c:pt>
                <c:pt idx="2">
                  <c:v>2010-02</c:v>
                </c:pt>
                <c:pt idx="3">
                  <c:v>2010-03</c:v>
                </c:pt>
                <c:pt idx="4">
                  <c:v>2010-04</c:v>
                </c:pt>
                <c:pt idx="5">
                  <c:v>2010-05</c:v>
                </c:pt>
                <c:pt idx="6">
                  <c:v>2010-06</c:v>
                </c:pt>
                <c:pt idx="7">
                  <c:v>2010-07</c:v>
                </c:pt>
                <c:pt idx="8">
                  <c:v>2010-08</c:v>
                </c:pt>
                <c:pt idx="9">
                  <c:v>2010-09</c:v>
                </c:pt>
                <c:pt idx="10">
                  <c:v>2010-10</c:v>
                </c:pt>
                <c:pt idx="11">
                  <c:v>2010-11</c:v>
                </c:pt>
                <c:pt idx="12">
                  <c:v>2010-12</c:v>
                </c:pt>
                <c:pt idx="13">
                  <c:v>2011-01</c:v>
                </c:pt>
                <c:pt idx="14">
                  <c:v>2011-02</c:v>
                </c:pt>
                <c:pt idx="15">
                  <c:v>2011-03</c:v>
                </c:pt>
                <c:pt idx="16">
                  <c:v>2011-04</c:v>
                </c:pt>
                <c:pt idx="17">
                  <c:v>2011-05</c:v>
                </c:pt>
                <c:pt idx="18">
                  <c:v>2011-06</c:v>
                </c:pt>
                <c:pt idx="19">
                  <c:v>2011-07</c:v>
                </c:pt>
                <c:pt idx="20">
                  <c:v>2011-08</c:v>
                </c:pt>
                <c:pt idx="21">
                  <c:v>2011-09</c:v>
                </c:pt>
                <c:pt idx="22">
                  <c:v>2011-10</c:v>
                </c:pt>
                <c:pt idx="23">
                  <c:v>2011-11</c:v>
                </c:pt>
                <c:pt idx="24">
                  <c:v>2011-12</c:v>
                </c:pt>
              </c:strCache>
            </c:strRef>
          </c:cat>
          <c:val>
            <c:numRef>
              <c:f>'06_REVENUE_ANALYSIS'!$E$4:$E$29</c:f>
              <c:numCache>
                <c:formatCode>0</c:formatCode>
                <c:ptCount val="25"/>
                <c:pt idx="0">
                  <c:v>1829</c:v>
                </c:pt>
                <c:pt idx="1">
                  <c:v>1189</c:v>
                </c:pt>
                <c:pt idx="2">
                  <c:v>1270</c:v>
                </c:pt>
                <c:pt idx="3">
                  <c:v>1737</c:v>
                </c:pt>
                <c:pt idx="4">
                  <c:v>1491</c:v>
                </c:pt>
                <c:pt idx="5">
                  <c:v>1630</c:v>
                </c:pt>
                <c:pt idx="6">
                  <c:v>1692</c:v>
                </c:pt>
                <c:pt idx="7">
                  <c:v>1567</c:v>
                </c:pt>
                <c:pt idx="8">
                  <c:v>1495</c:v>
                </c:pt>
                <c:pt idx="9">
                  <c:v>1864</c:v>
                </c:pt>
                <c:pt idx="10">
                  <c:v>2317</c:v>
                </c:pt>
                <c:pt idx="11">
                  <c:v>2845</c:v>
                </c:pt>
                <c:pt idx="12">
                  <c:v>1625</c:v>
                </c:pt>
                <c:pt idx="13">
                  <c:v>1115</c:v>
                </c:pt>
                <c:pt idx="14">
                  <c:v>1121</c:v>
                </c:pt>
                <c:pt idx="15">
                  <c:v>1518</c:v>
                </c:pt>
                <c:pt idx="16">
                  <c:v>1309</c:v>
                </c:pt>
                <c:pt idx="17">
                  <c:v>1720</c:v>
                </c:pt>
                <c:pt idx="18">
                  <c:v>1569</c:v>
                </c:pt>
                <c:pt idx="19">
                  <c:v>1517</c:v>
                </c:pt>
                <c:pt idx="20">
                  <c:v>1387</c:v>
                </c:pt>
                <c:pt idx="21">
                  <c:v>1878</c:v>
                </c:pt>
                <c:pt idx="22">
                  <c:v>2097</c:v>
                </c:pt>
                <c:pt idx="23">
                  <c:v>2867</c:v>
                </c:pt>
                <c:pt idx="24">
                  <c:v>837</c:v>
                </c:pt>
              </c:numCache>
            </c:numRef>
          </c:val>
          <c:smooth val="0"/>
          <c:extLst>
            <c:ext xmlns:c16="http://schemas.microsoft.com/office/drawing/2014/chart" uri="{C3380CC4-5D6E-409C-BE32-E72D297353CC}">
              <c16:uniqueId val="{00000002-6B0F-4902-9585-9D38FA309AEA}"/>
            </c:ext>
          </c:extLst>
        </c:ser>
        <c:dLbls>
          <c:showLegendKey val="0"/>
          <c:showVal val="0"/>
          <c:showCatName val="0"/>
          <c:showSerName val="0"/>
          <c:showPercent val="0"/>
          <c:showBubbleSize val="0"/>
        </c:dLbls>
        <c:marker val="1"/>
        <c:smooth val="0"/>
        <c:axId val="1516437856"/>
        <c:axId val="1516436416"/>
      </c:lineChart>
      <c:catAx>
        <c:axId val="15164378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6436416"/>
        <c:crosses val="autoZero"/>
        <c:auto val="1"/>
        <c:lblAlgn val="ctr"/>
        <c:lblOffset val="100"/>
        <c:noMultiLvlLbl val="0"/>
      </c:catAx>
      <c:valAx>
        <c:axId val="1516436416"/>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64378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[Business_Intelligence_Model.xlsx]07_PRODUCT_ANALYSIS!PivotTable4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Top 10 Products by Core Sales Revenue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'07_PRODUCT_ANALYSIS'!$K$5</c:f>
              <c:strCache>
                <c:ptCount val="1"/>
                <c:pt idx="0">
                  <c:v>Total</c:v>
                </c:pt>
              </c:strCache>
            </c:strRef>
          </c:tx>
          <c:spPr>
            <a:solidFill>
              <a:schemeClr val="accent1"/>
            </a:solidFill>
            <a:ln>
              <a:noFill/>
            </a:ln>
            <a:effectLst/>
          </c:spPr>
          <c:invertIfNegative val="0"/>
          <c:cat>
            <c:strRef>
              <c:f>'07_PRODUCT_ANALYSIS'!$J$6:$J$16</c:f>
              <c:strCache>
                <c:ptCount val="10"/>
                <c:pt idx="0">
                  <c:v>ASSORTED COLOUR BIRD ORNAMENT</c:v>
                </c:pt>
                <c:pt idx="1">
                  <c:v>CHILLI LIGHTS</c:v>
                </c:pt>
                <c:pt idx="2">
                  <c:v>JUMBO BAG RED RETROSPOT</c:v>
                </c:pt>
                <c:pt idx="3">
                  <c:v>MEDIUM CERAMIC TOP STORAGE JAR</c:v>
                </c:pt>
                <c:pt idx="4">
                  <c:v>PAPER CHAIN KIT 50'S CHRISTMAS</c:v>
                </c:pt>
                <c:pt idx="5">
                  <c:v>PAPER CRAFT , LITTLE BIRDIE</c:v>
                </c:pt>
                <c:pt idx="6">
                  <c:v>PARTY BUNTING</c:v>
                </c:pt>
                <c:pt idx="7">
                  <c:v>REGENCY CAKESTAND 3 TIER</c:v>
                </c:pt>
                <c:pt idx="8">
                  <c:v>ROTATING SILVER ANGELS T-LIGHT HLDR</c:v>
                </c:pt>
                <c:pt idx="9">
                  <c:v>WHITE HANGING HEART T-LIGHT HOLDER</c:v>
                </c:pt>
              </c:strCache>
            </c:strRef>
          </c:cat>
          <c:val>
            <c:numRef>
              <c:f>'07_PRODUCT_ANALYSIS'!$K$6:$K$16</c:f>
              <c:numCache>
                <c:formatCode>"₹"\ #,##0.00;#,##0.00\ \-"₹";"₹"\ #,##0.00</c:formatCode>
                <c:ptCount val="10"/>
                <c:pt idx="0">
                  <c:v>132187.92000000033</c:v>
                </c:pt>
                <c:pt idx="1">
                  <c:v>85489.91000000028</c:v>
                </c:pt>
                <c:pt idx="2">
                  <c:v>150935.55999999974</c:v>
                </c:pt>
                <c:pt idx="3">
                  <c:v>81700.919999999969</c:v>
                </c:pt>
                <c:pt idx="4">
                  <c:v>123141.53999999994</c:v>
                </c:pt>
                <c:pt idx="5">
                  <c:v>168469.6</c:v>
                </c:pt>
                <c:pt idx="6">
                  <c:v>149187.05000000072</c:v>
                </c:pt>
                <c:pt idx="7">
                  <c:v>344563.25000000006</c:v>
                </c:pt>
                <c:pt idx="8">
                  <c:v>74448.920000000231</c:v>
                </c:pt>
                <c:pt idx="9">
                  <c:v>266923.55000000075</c:v>
                </c:pt>
              </c:numCache>
            </c:numRef>
          </c:val>
          <c:extLst>
            <c:ext xmlns:c16="http://schemas.microsoft.com/office/drawing/2014/chart" uri="{C3380CC4-5D6E-409C-BE32-E72D297353CC}">
              <c16:uniqueId val="{00000000-29D0-44EE-826E-5A03F97ABEAB}"/>
            </c:ext>
          </c:extLst>
        </c:ser>
        <c:dLbls>
          <c:showLegendKey val="0"/>
          <c:showVal val="0"/>
          <c:showCatName val="0"/>
          <c:showSerName val="0"/>
          <c:showPercent val="0"/>
          <c:showBubbleSize val="0"/>
        </c:dLbls>
        <c:gapWidth val="182"/>
        <c:axId val="1186021152"/>
        <c:axId val="1186022112"/>
      </c:barChart>
      <c:catAx>
        <c:axId val="1186021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6022112"/>
        <c:crosses val="autoZero"/>
        <c:auto val="1"/>
        <c:lblAlgn val="ctr"/>
        <c:lblOffset val="100"/>
        <c:noMultiLvlLbl val="0"/>
      </c:catAx>
      <c:valAx>
        <c:axId val="1186022112"/>
        <c:scaling>
          <c:orientation val="minMax"/>
        </c:scaling>
        <c:delete val="0"/>
        <c:axPos val="b"/>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60211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[Business_Intelligence_Model.xlsx]08_CUSTOMER_ANALYSIS!PivotTable7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Top 10 by Core Sales Revenue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'08_CUSTOMER_ANALYSIS'!$J$4</c:f>
              <c:strCache>
                <c:ptCount val="1"/>
                <c:pt idx="0">
                  <c:v>Total</c:v>
                </c:pt>
              </c:strCache>
            </c:strRef>
          </c:tx>
          <c:spPr>
            <a:solidFill>
              <a:schemeClr val="accent1"/>
            </a:solidFill>
            <a:ln>
              <a:noFill/>
            </a:ln>
            <a:effectLst/>
          </c:spPr>
          <c:invertIfNegative val="0"/>
          <c:cat>
            <c:strRef>
              <c:f>'08_CUSTOMER_ANALYSIS'!$I$5:$I$15</c:f>
              <c:strCache>
                <c:ptCount val="10"/>
                <c:pt idx="0">
                  <c:v>(blank)</c:v>
                </c:pt>
                <c:pt idx="1">
                  <c:v>13694</c:v>
                </c:pt>
                <c:pt idx="2">
                  <c:v>14156</c:v>
                </c:pt>
                <c:pt idx="3">
                  <c:v>14646</c:v>
                </c:pt>
                <c:pt idx="4">
                  <c:v>14911</c:v>
                </c:pt>
                <c:pt idx="5">
                  <c:v>16446</c:v>
                </c:pt>
                <c:pt idx="6">
                  <c:v>16684</c:v>
                </c:pt>
                <c:pt idx="7">
                  <c:v>17450</c:v>
                </c:pt>
                <c:pt idx="8">
                  <c:v>17511</c:v>
                </c:pt>
                <c:pt idx="9">
                  <c:v>18102</c:v>
                </c:pt>
              </c:strCache>
            </c:strRef>
          </c:cat>
          <c:val>
            <c:numRef>
              <c:f>'08_CUSTOMER_ANALYSIS'!$J$5:$J$15</c:f>
              <c:numCache>
                <c:formatCode>"₹"\ #,##0.00;#,##0.00\ \-"₹";"₹"\ #,##0.00</c:formatCode>
                <c:ptCount val="10"/>
                <c:pt idx="0">
                  <c:v>2717942.1200000294</c:v>
                </c:pt>
                <c:pt idx="1">
                  <c:v>196482.80999999985</c:v>
                </c:pt>
                <c:pt idx="2">
                  <c:v>305767.92000000214</c:v>
                </c:pt>
                <c:pt idx="3">
                  <c:v>526751.51999999839</c:v>
                </c:pt>
                <c:pt idx="4">
                  <c:v>284592.97000000096</c:v>
                </c:pt>
                <c:pt idx="5">
                  <c:v>168472.5</c:v>
                </c:pt>
                <c:pt idx="6">
                  <c:v>147142.7699999999</c:v>
                </c:pt>
                <c:pt idx="7">
                  <c:v>246973.09</c:v>
                </c:pt>
                <c:pt idx="8">
                  <c:v>175603.55000000005</c:v>
                </c:pt>
                <c:pt idx="9">
                  <c:v>608821.64999999909</c:v>
                </c:pt>
              </c:numCache>
            </c:numRef>
          </c:val>
          <c:extLst>
            <c:ext xmlns:c16="http://schemas.microsoft.com/office/drawing/2014/chart" uri="{C3380CC4-5D6E-409C-BE32-E72D297353CC}">
              <c16:uniqueId val="{00000000-4C8A-4462-8E31-2794BE260637}"/>
            </c:ext>
          </c:extLst>
        </c:ser>
        <c:dLbls>
          <c:showLegendKey val="0"/>
          <c:showVal val="0"/>
          <c:showCatName val="0"/>
          <c:showSerName val="0"/>
          <c:showPercent val="0"/>
          <c:showBubbleSize val="0"/>
        </c:dLbls>
        <c:gapWidth val="182"/>
        <c:axId val="1695274048"/>
        <c:axId val="1695284608"/>
      </c:barChart>
      <c:catAx>
        <c:axId val="16952740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5284608"/>
        <c:crosses val="autoZero"/>
        <c:auto val="1"/>
        <c:lblAlgn val="ctr"/>
        <c:lblOffset val="100"/>
        <c:noMultiLvlLbl val="0"/>
      </c:catAx>
      <c:valAx>
        <c:axId val="1695284608"/>
        <c:scaling>
          <c:orientation val="minMax"/>
        </c:scaling>
        <c:delete val="0"/>
        <c:axPos val="b"/>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5274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Monthly Revenue Forecast - ETS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'11_FORECASTING'!$Z$3</c:f>
              <c:strCache>
                <c:ptCount val="1"/>
                <c:pt idx="0">
                  <c:v>Actual Revenue</c:v>
                </c:pt>
              </c:strCache>
            </c:strRef>
          </c:tx>
          <c:spPr>
            <a:ln w="28575" cap="rnd">
              <a:solidFill>
                <a:schemeClr val="accent1"/>
              </a:solidFill>
              <a:round/>
            </a:ln>
            <a:effectLst/>
          </c:spPr>
          <c:marker>
            <c:symbol val="none"/>
          </c:marker>
          <c:cat>
            <c:numRef>
              <c:f>'11_FORECASTING'!$Y$4:$Y$28</c:f>
              <c:numCache>
                <c:formatCode>mmm/yyyy</c:formatCode>
                <c:ptCount val="25"/>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numCache>
            </c:numRef>
          </c:cat>
          <c:val>
            <c:numRef>
              <c:f>'11_FORECASTING'!$Z$4:$Z$28</c:f>
              <c:numCache>
                <c:formatCode>"₹"\ #,##0.00;#,##0.00\ \-"₹";"₹"\ #,##0.00</c:formatCode>
                <c:ptCount val="25"/>
                <c:pt idx="0">
                  <c:v>801948.83999999927</c:v>
                </c:pt>
                <c:pt idx="1">
                  <c:v>623056.82200000109</c:v>
                </c:pt>
                <c:pt idx="2">
                  <c:v>539982.65599999635</c:v>
                </c:pt>
                <c:pt idx="3">
                  <c:v>764776.40099999821</c:v>
                </c:pt>
                <c:pt idx="4">
                  <c:v>649657.38199999614</c:v>
                </c:pt>
                <c:pt idx="5">
                  <c:v>646160.22999999404</c:v>
                </c:pt>
                <c:pt idx="6">
                  <c:v>700597.69999999634</c:v>
                </c:pt>
                <c:pt idx="7">
                  <c:v>635802.08999999904</c:v>
                </c:pt>
                <c:pt idx="8">
                  <c:v>677102.8899999978</c:v>
                </c:pt>
                <c:pt idx="9">
                  <c:v>872407.38099999831</c:v>
                </c:pt>
                <c:pt idx="10">
                  <c:v>1098995.3199999982</c:v>
                </c:pt>
                <c:pt idx="11">
                  <c:v>1443879.162000003</c:v>
                </c:pt>
                <c:pt idx="12">
                  <c:v>1215200.1299999983</c:v>
                </c:pt>
                <c:pt idx="13">
                  <c:v>672207.40999999479</c:v>
                </c:pt>
                <c:pt idx="14">
                  <c:v>509167.87000000023</c:v>
                </c:pt>
                <c:pt idx="15">
                  <c:v>692235.69999999518</c:v>
                </c:pt>
                <c:pt idx="16">
                  <c:v>516754.79100000073</c:v>
                </c:pt>
                <c:pt idx="17">
                  <c:v>741726.73999999871</c:v>
                </c:pt>
                <c:pt idx="18">
                  <c:v>739426.88000000163</c:v>
                </c:pt>
                <c:pt idx="19">
                  <c:v>689947.74099999783</c:v>
                </c:pt>
                <c:pt idx="20">
                  <c:v>726005.16000000131</c:v>
                </c:pt>
                <c:pt idx="21">
                  <c:v>1031430.3619999989</c:v>
                </c:pt>
                <c:pt idx="22">
                  <c:v>1107449.5399999949</c:v>
                </c:pt>
                <c:pt idx="23">
                  <c:v>1458925.5299999956</c:v>
                </c:pt>
              </c:numCache>
            </c:numRef>
          </c:val>
          <c:smooth val="0"/>
          <c:extLst>
            <c:ext xmlns:c16="http://schemas.microsoft.com/office/drawing/2014/chart" uri="{C3380CC4-5D6E-409C-BE32-E72D297353CC}">
              <c16:uniqueId val="{00000000-0300-41D3-AAEF-E4B3CDFCB173}"/>
            </c:ext>
          </c:extLst>
        </c:ser>
        <c:ser>
          <c:idx val="1"/>
          <c:order val="1"/>
          <c:tx>
            <c:strRef>
              <c:f>'11_FORECASTING'!$AA$3</c:f>
              <c:strCache>
                <c:ptCount val="1"/>
                <c:pt idx="0">
                  <c:v>ETS Forecast</c:v>
                </c:pt>
              </c:strCache>
            </c:strRef>
          </c:tx>
          <c:spPr>
            <a:ln w="28575" cap="rnd">
              <a:solidFill>
                <a:schemeClr val="accent2"/>
              </a:solidFill>
              <a:round/>
            </a:ln>
            <a:effectLst/>
          </c:spPr>
          <c:marker>
            <c:symbol val="none"/>
          </c:marker>
          <c:errBars>
            <c:errDir val="y"/>
            <c:errBarType val="both"/>
            <c:errValType val="cust"/>
            <c:noEndCap val="0"/>
            <c:plus>
              <c:numRef>
                <c:f>'11_FORECASTING'!$AD$28</c:f>
                <c:numCache>
                  <c:formatCode>General</c:formatCode>
                  <c:ptCount val="1"/>
                  <c:pt idx="0">
                    <c:v>187162.82003678358</c:v>
                  </c:pt>
                </c:numCache>
              </c:numRef>
            </c:plus>
            <c:minus>
              <c:numRef>
                <c:f>'11_FORECASTING'!$AE$28</c:f>
                <c:numCache>
                  <c:formatCode>General</c:formatCode>
                  <c:ptCount val="1"/>
                  <c:pt idx="0">
                    <c:v>187162.82003678358</c:v>
                  </c:pt>
                </c:numCache>
              </c:numRef>
            </c:minus>
            <c:spPr>
              <a:noFill/>
              <a:ln w="9525" cap="flat" cmpd="sng" algn="ctr">
                <a:solidFill>
                  <a:schemeClr val="tx1">
                    <a:lumMod val="65000"/>
                    <a:lumOff val="35000"/>
                  </a:schemeClr>
                </a:solidFill>
                <a:round/>
              </a:ln>
              <a:effectLst/>
            </c:spPr>
          </c:errBars>
          <c:cat>
            <c:numRef>
              <c:f>'11_FORECASTING'!$Y$4:$Y$28</c:f>
              <c:numCache>
                <c:formatCode>mmm/yyyy</c:formatCode>
                <c:ptCount val="25"/>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numCache>
            </c:numRef>
          </c:cat>
          <c:val>
            <c:numRef>
              <c:f>'11_FORECASTING'!$AA$4:$AA$28</c:f>
              <c:numCache>
                <c:formatCode>General</c:formatCode>
                <c:ptCount val="25"/>
                <c:pt idx="23" formatCode="&quot;₹&quot;\ #,##0.00;#,##0.00\ \-&quot;₹&quot;;&quot;₹&quot;\ #,##0.00">
                  <c:v>1458925.5299999956</c:v>
                </c:pt>
                <c:pt idx="24" formatCode="&quot;₹&quot;\ #,##0.00;#,##0.00\ \-&quot;₹&quot;;&quot;₹&quot;\ #,##0.00">
                  <c:v>1234273.4054165592</c:v>
                </c:pt>
              </c:numCache>
            </c:numRef>
          </c:val>
          <c:smooth val="0"/>
          <c:extLst>
            <c:ext xmlns:c16="http://schemas.microsoft.com/office/drawing/2014/chart" uri="{C3380CC4-5D6E-409C-BE32-E72D297353CC}">
              <c16:uniqueId val="{00000001-0300-41D3-AAEF-E4B3CDFCB173}"/>
            </c:ext>
          </c:extLst>
        </c:ser>
        <c:dLbls>
          <c:showLegendKey val="0"/>
          <c:showVal val="0"/>
          <c:showCatName val="0"/>
          <c:showSerName val="0"/>
          <c:showPercent val="0"/>
          <c:showBubbleSize val="0"/>
        </c:dLbls>
        <c:smooth val="0"/>
        <c:axId val="1456231135"/>
        <c:axId val="1456222495"/>
      </c:lineChart>
      <c:dateAx>
        <c:axId val="1456231135"/>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6222495"/>
        <c:crosses val="autoZero"/>
        <c:auto val="1"/>
        <c:lblOffset val="100"/>
        <c:baseTimeUnit val="months"/>
      </c:dateAx>
      <c:valAx>
        <c:axId val="1456222495"/>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6231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30</xdr:col>
      <xdr:colOff>594295</xdr:colOff>
      <xdr:row>4</xdr:row>
      <xdr:rowOff>77503</xdr:rowOff>
    </xdr:from>
    <xdr:to>
      <xdr:col>36</xdr:col>
      <xdr:colOff>332153</xdr:colOff>
      <xdr:row>15</xdr:row>
      <xdr:rowOff>16281</xdr:rowOff>
    </xdr:to>
    <xdr:graphicFrame macro="">
      <xdr:nvGraphicFramePr>
        <xdr:cNvPr id="2" name="Chart 1">
          <a:extLst>
            <a:ext uri="{FF2B5EF4-FFF2-40B4-BE49-F238E27FC236}">
              <a16:creationId xmlns:a16="http://schemas.microsoft.com/office/drawing/2014/main" id="{8DD45238-B3EE-4170-2D2B-25EE8110FC4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238297</xdr:colOff>
      <xdr:row>6</xdr:row>
      <xdr:rowOff>23683</xdr:rowOff>
    </xdr:from>
    <xdr:to>
      <xdr:col>13</xdr:col>
      <xdr:colOff>548589</xdr:colOff>
      <xdr:row>21</xdr:row>
      <xdr:rowOff>4633</xdr:rowOff>
    </xdr:to>
    <xdr:graphicFrame macro="">
      <xdr:nvGraphicFramePr>
        <xdr:cNvPr id="2" name="Chart 1">
          <a:extLst>
            <a:ext uri="{FF2B5EF4-FFF2-40B4-BE49-F238E27FC236}">
              <a16:creationId xmlns:a16="http://schemas.microsoft.com/office/drawing/2014/main" id="{6D76557D-32FB-335B-89DA-05B5EDC3C61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11</xdr:col>
      <xdr:colOff>123825</xdr:colOff>
      <xdr:row>3</xdr:row>
      <xdr:rowOff>82550</xdr:rowOff>
    </xdr:from>
    <xdr:to>
      <xdr:col>21</xdr:col>
      <xdr:colOff>158750</xdr:colOff>
      <xdr:row>18</xdr:row>
      <xdr:rowOff>95250</xdr:rowOff>
    </xdr:to>
    <xdr:graphicFrame macro="">
      <xdr:nvGraphicFramePr>
        <xdr:cNvPr id="2" name="Chart 1">
          <a:extLst>
            <a:ext uri="{FF2B5EF4-FFF2-40B4-BE49-F238E27FC236}">
              <a16:creationId xmlns:a16="http://schemas.microsoft.com/office/drawing/2014/main" id="{87323D28-FC40-4435-4762-1EB12D8FCC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10</xdr:col>
      <xdr:colOff>517525</xdr:colOff>
      <xdr:row>2</xdr:row>
      <xdr:rowOff>63500</xdr:rowOff>
    </xdr:from>
    <xdr:to>
      <xdr:col>18</xdr:col>
      <xdr:colOff>212725</xdr:colOff>
      <xdr:row>17</xdr:row>
      <xdr:rowOff>44450</xdr:rowOff>
    </xdr:to>
    <xdr:graphicFrame macro="">
      <xdr:nvGraphicFramePr>
        <xdr:cNvPr id="3" name="Chart 2">
          <a:extLst>
            <a:ext uri="{FF2B5EF4-FFF2-40B4-BE49-F238E27FC236}">
              <a16:creationId xmlns:a16="http://schemas.microsoft.com/office/drawing/2014/main" id="{720B3289-23BC-5C4D-AF80-8A4913D2CDE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35</xdr:col>
      <xdr:colOff>28575</xdr:colOff>
      <xdr:row>3</xdr:row>
      <xdr:rowOff>19050</xdr:rowOff>
    </xdr:from>
    <xdr:to>
      <xdr:col>41</xdr:col>
      <xdr:colOff>533400</xdr:colOff>
      <xdr:row>16</xdr:row>
      <xdr:rowOff>19050</xdr:rowOff>
    </xdr:to>
    <xdr:graphicFrame macro="">
      <xdr:nvGraphicFramePr>
        <xdr:cNvPr id="2" name="Chart 1">
          <a:extLst>
            <a:ext uri="{FF2B5EF4-FFF2-40B4-BE49-F238E27FC236}">
              <a16:creationId xmlns:a16="http://schemas.microsoft.com/office/drawing/2014/main" id="{4863914F-DFF7-472D-BBC7-FF8800E2CF8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ara Pires" refreshedDate="46271.877463310186" createdVersion="8" refreshedVersion="8" minRefreshableVersion="3" recordCount="0" supportSubquery="1" supportAdvancedDrill="1" xr:uid="{963A37F3-18E0-4CDE-A35C-25940F7D4A9D}">
  <cacheSource type="external" connectionId="12"/>
  <cacheFields count="4">
    <cacheField name="[dim_Date].[DayName].[DayName]" caption="DayName" numFmtId="0" hierarchy="8" level="1">
      <sharedItems count="7">
        <s v="Friday"/>
        <s v="Monday"/>
        <s v="Saturday"/>
        <s v="Sunday"/>
        <s v="Thursday"/>
        <s v="Tuesday"/>
        <s v="Wednesday"/>
      </sharedItems>
    </cacheField>
    <cacheField name="[Measures].[Core Sales Revenue]" caption="Core Sales Revenue" numFmtId="0" hierarchy="38" level="32767"/>
    <cacheField name="[Measures].[Core Orders]" caption="Core Orders" numFmtId="0" hierarchy="42" level="32767"/>
    <cacheField name="[Measures].[Average Order Value]" caption="Average Order Value" numFmtId="0" hierarchy="44" level="32767"/>
  </cacheFields>
  <cacheHierarchies count="61">
    <cacheHierarchy uniqueName="[dim_Country].[Country]" caption="Country" attribute="1" defaultMemberUniqueName="[dim_Country].[Country].[All]" allUniqueName="[dim_Country].[Country].[All]" dimensionUniqueName="[dim_Country]" displayFolder="" count="0" memberValueDatatype="130" unbalanced="0"/>
    <cacheHierarchy uniqueName="[dim_Customer].[Customer ID]" caption="Customer ID" attribute="1" defaultMemberUniqueName="[dim_Customer].[Customer ID].[All]" allUniqueName="[dim_Customer].[Customer ID].[All]" dimensionUniqueName="[dim_Customer]" displayFolder="" count="0" memberValueDatatype="130" unbalanced="0"/>
    <cacheHierarchy uniqueName="[dim_Date].[Date]" caption="Date" attribute="1" time="1" keyAttribute="1" defaultMemberUniqueName="[dim_Date].[Date].[All]" allUniqueName="[dim_Date].[Date].[All]" dimensionUniqueName="[dim_Date]" displayFolder="" count="0" memberValueDatatype="7" unbalanced="0"/>
    <cacheHierarchy uniqueName="[dim_Date].[Year]" caption="Year" attribute="1" time="1" defaultMemberUniqueName="[dim_Date].[Year].[All]" allUniqueName="[dim_Date].[Year].[All]" dimensionUniqueName="[dim_Date]" displayFolder="" count="0" memberValueDatatype="20" unbalanced="0"/>
    <cacheHierarchy uniqueName="[dim_Date].[Quarter]" caption="Quarter" attribute="1" time="1" defaultMemberUniqueName="[dim_Date].[Quarter].[All]" allUniqueName="[dim_Date].[Quarter].[All]" dimensionUniqueName="[dim_Date]" displayFolder="" count="0" memberValueDatatype="20" unbalanced="0"/>
    <cacheHierarchy uniqueName="[dim_Date].[MonthNumber]" caption="MonthNumber" attribute="1" time="1" defaultMemberUniqueName="[dim_Date].[MonthNumber].[All]" allUniqueName="[dim_Date].[MonthNumber].[All]" dimensionUniqueName="[dim_Date]" displayFolder="" count="0" memberValueDatatype="20" unbalanced="0"/>
    <cacheHierarchy uniqueName="[dim_Date].[MonthName]" caption="MonthName" attribute="1" time="1" defaultMemberUniqueName="[dim_Date].[MonthName].[All]" allUniqueName="[dim_Date].[MonthName].[All]" dimensionUniqueName="[dim_Date]" displayFolder="" count="0" memberValueDatatype="130" unbalanced="0"/>
    <cacheHierarchy uniqueName="[dim_Date].[Day]" caption="Day" attribute="1" time="1" defaultMemberUniqueName="[dim_Date].[Day].[All]" allUniqueName="[dim_Date].[Day].[All]" dimensionUniqueName="[dim_Date]" displayFolder="" count="0" memberValueDatatype="20" unbalanced="0"/>
    <cacheHierarchy uniqueName="[dim_Date].[DayName]" caption="DayName" attribute="1" time="1" defaultMemberUniqueName="[dim_Date].[DayName].[All]" allUniqueName="[dim_Date].[DayName].[All]" dimensionUniqueName="[dim_Date]" displayFolder="" count="2" memberValueDatatype="130" unbalanced="0">
      <fieldsUsage count="2">
        <fieldUsage x="-1"/>
        <fieldUsage x="0"/>
      </fieldsUsage>
    </cacheHierarchy>
    <cacheHierarchy uniqueName="[dim_Date].[YearMonth]" caption="YearMonth" attribute="1" time="1" defaultMemberUniqueName="[dim_Date].[YearMonth].[All]" allUniqueName="[dim_Date].[YearMonth].[All]" dimensionUniqueName="[dim_Date]" displayFolder="" count="0" memberValueDatatype="130" unbalanced="0"/>
    <cacheHierarchy uniqueName="[dim_Product].[StockCode]" caption="StockCode" attribute="1" defaultMemberUniqueName="[dim_Product].[StockCode].[All]" allUniqueName="[dim_Product].[StockCode].[All]" dimensionUniqueName="[dim_Product]" displayFolder="" count="0" memberValueDatatype="130" unbalanced="0"/>
    <cacheHierarchy uniqueName="[dim_Product].[Description]" caption="Description" attribute="1" defaultMemberUniqueName="[dim_Product].[Description].[All]" allUniqueName="[dim_Product].[Description].[All]" dimensionUniqueName="[dim_Product]" displayFolder="" count="0" memberValueDatatype="130" unbalanced="0"/>
    <cacheHierarchy uniqueName="[dim_Product].[DescriptionCount]" caption="DescriptionCount" attribute="1" defaultMemberUniqueName="[dim_Product].[DescriptionCount].[All]" allUniqueName="[dim_Product].[DescriptionCount].[All]" dimensionUniqueName="[dim_Product]" displayFolder="" count="0" memberValueDatatype="130" unbalanced="0"/>
    <cacheHierarchy uniqueName="[dim_Product].[RecordType]" caption="RecordType" attribute="1" defaultMemberUniqueName="[dim_Product].[RecordType].[All]" allUniqueName="[dim_Product].[RecordType].[All]" dimensionUniqueName="[dim_Product]" displayFolder="" count="0" memberValueDatatype="130" unbalanced="0"/>
    <cacheHierarchy uniqueName="[fact_Transactions].[Invoice]" caption="Invoice" attribute="1" defaultMemberUniqueName="[fact_Transactions].[Invoice].[All]" allUniqueName="[fact_Transactions].[Invoice].[All]" dimensionUniqueName="[fact_Transactions]" displayFolder="" count="0" memberValueDatatype="130" unbalanced="0"/>
    <cacheHierarchy uniqueName="[fact_Transactions].[StockCode]" caption="StockCode" attribute="1" defaultMemberUniqueName="[fact_Transactions].[StockCode].[All]" allUniqueName="[fact_Transactions].[StockCode].[All]" dimensionUniqueName="[fact_Transactions]" displayFolder="" count="0" memberValueDatatype="130" unbalanced="0"/>
    <cacheHierarchy uniqueName="[fact_Transactions].[Description]" caption="Description" attribute="1" defaultMemberUniqueName="[fact_Transactions].[Description].[All]" allUniqueName="[fact_Transactions].[Description].[All]" dimensionUniqueName="[fact_Transactions]" displayFolder="" count="0" memberValueDatatype="130" unbalanced="0"/>
    <cacheHierarchy uniqueName="[fact_Transactions].[Quantity]" caption="Quantity" attribute="1" defaultMemberUniqueName="[fact_Transactions].[Quantity].[All]" allUniqueName="[fact_Transactions].[Quantity].[All]" dimensionUniqueName="[fact_Transactions]" displayFolder="" count="0" memberValueDatatype="20" unbalanced="0"/>
    <cacheHierarchy uniqueName="[fact_Transactions].[InvoiceDate]" caption="InvoiceDate" attribute="1" time="1" defaultMemberUniqueName="[fact_Transactions].[InvoiceDate].[All]" allUniqueName="[fact_Transactions].[InvoiceDate].[All]" dimensionUniqueName="[fact_Transactions]" displayFolder="" count="0" memberValueDatatype="7" unbalanced="0"/>
    <cacheHierarchy uniqueName="[fact_Transactions].[Price]" caption="Price" attribute="1" defaultMemberUniqueName="[fact_Transactions].[Price].[All]" allUniqueName="[fact_Transactions].[Price].[All]" dimensionUniqueName="[fact_Transactions]" displayFolder="" count="0" memberValueDatatype="5" unbalanced="0"/>
    <cacheHierarchy uniqueName="[fact_Transactions].[Customer ID]" caption="Customer ID" attribute="1" defaultMemberUniqueName="[fact_Transactions].[Customer ID].[All]" allUniqueName="[fact_Transactions].[Customer ID].[All]" dimensionUniqueName="[fact_Transactions]" displayFolder="" count="0" memberValueDatatype="130" unbalanced="0"/>
    <cacheHierarchy uniqueName="[fact_Transactions].[Country]" caption="Country" attribute="1" defaultMemberUniqueName="[fact_Transactions].[Country].[All]" allUniqueName="[fact_Transactions].[Country].[All]" dimensionUniqueName="[fact_Transactions]" displayFolder="" count="0" memberValueDatatype="130" unbalanced="0"/>
    <cacheHierarchy uniqueName="[fact_Transactions].[InvoiceType]" caption="InvoiceType" attribute="1" defaultMemberUniqueName="[fact_Transactions].[InvoiceType].[All]" allUniqueName="[fact_Transactions].[InvoiceType].[All]" dimensionUniqueName="[fact_Transactions]" displayFolder="" count="0" memberValueDatatype="130" unbalanced="0"/>
    <cacheHierarchy uniqueName="[fact_Transactions].[QuantityType]" caption="QuantityType" attribute="1" defaultMemberUniqueName="[fact_Transactions].[QuantityType].[All]" allUniqueName="[fact_Transactions].[QuantityType].[All]" dimensionUniqueName="[fact_Transactions]" displayFolder="" count="0" memberValueDatatype="130" unbalanced="0"/>
    <cacheHierarchy uniqueName="[fact_Transactions].[RecordType]" caption="RecordType" attribute="1" defaultMemberUniqueName="[fact_Transactions].[RecordType].[All]" allUniqueName="[fact_Transactions].[RecordType].[All]" dimensionUniqueName="[fact_Transactions]" displayFolder="" count="0" memberValueDatatype="130" unbalanced="0"/>
    <cacheHierarchy uniqueName="[fact_Transactions].[AnalysisStatus]" caption="AnalysisStatus" attribute="1" defaultMemberUniqueName="[fact_Transactions].[AnalysisStatus].[All]" allUniqueName="[fact_Transactions].[AnalysisStatus].[All]" dimensionUniqueName="[fact_Transactions]" displayFolder="" count="0" memberValueDatatype="130" unbalanced="0"/>
    <cacheHierarchy uniqueName="[fact_Transactions].[Revenue]" caption="Revenue" attribute="1" defaultMemberUniqueName="[fact_Transactions].[Revenue].[All]" allUniqueName="[fact_Transactions].[Revenue].[All]" dimensionUniqueName="[fact_Transactions]" displayFolder="" count="0" memberValueDatatype="5" unbalanced="0"/>
    <cacheHierarchy uniqueName="[fact_Transactions].[Year]" caption="Year" attribute="1" defaultMemberUniqueName="[fact_Transactions].[Year].[All]" allUniqueName="[fact_Transactions].[Year].[All]" dimensionUniqueName="[fact_Transactions]" displayFolder="" count="0" memberValueDatatype="20" unbalanced="0"/>
    <cacheHierarchy uniqueName="[fact_Transactions].[Quarter]" caption="Quarter" attribute="1" defaultMemberUniqueName="[fact_Transactions].[Quarter].[All]" allUniqueName="[fact_Transactions].[Quarter].[All]" dimensionUniqueName="[fact_Transactions]" displayFolder="" count="0" memberValueDatatype="20" unbalanced="0"/>
    <cacheHierarchy uniqueName="[fact_Transactions].[Month]" caption="Month" attribute="1" defaultMemberUniqueName="[fact_Transactions].[Month].[All]" allUniqueName="[fact_Transactions].[Month].[All]" dimensionUniqueName="[fact_Transactions]" displayFolder="" count="0" memberValueDatatype="20" unbalanced="0"/>
    <cacheHierarchy uniqueName="[fact_Transactions].[Month Name]" caption="Month Name" attribute="1" defaultMemberUniqueName="[fact_Transactions].[Month Name].[All]" allUniqueName="[fact_Transactions].[Month Name].[All]" dimensionUniqueName="[fact_Transactions]" displayFolder="" count="0" memberValueDatatype="130" unbalanced="0"/>
    <cacheHierarchy uniqueName="[fact_Transactions].[Day Name]" caption="Day Name" attribute="1" defaultMemberUniqueName="[fact_Transactions].[Day Name].[All]" allUniqueName="[fact_Transactions].[Day Name].[All]" dimensionUniqueName="[fact_Transactions]" displayFolder="" count="0" memberValueDatatype="130" unbalanced="0"/>
    <cacheHierarchy uniqueName="[fact_Transactions].[Hour]" caption="Hour" attribute="1" defaultMemberUniqueName="[fact_Transactions].[Hour].[All]" allUniqueName="[fact_Transactions].[Hour].[All]" dimensionUniqueName="[fact_Transactions]" displayFolder="" count="0" memberValueDatatype="20" unbalanced="0"/>
    <cacheHierarchy uniqueName="[fact_Transactions].[YearMonth]" caption="YearMonth" attribute="1" defaultMemberUniqueName="[fact_Transactions].[YearMonth].[All]" allUniqueName="[fact_Transactions].[YearMonth].[All]" dimensionUniqueName="[fact_Transactions]" displayFolder="" count="0" memberValueDatatype="130" unbalanced="0"/>
    <cacheHierarchy uniqueName="[fact_Transactions].[TransactionDate]" caption="TransactionDate" attribute="1" time="1" defaultMemberUniqueName="[fact_Transactions].[TransactionDate].[All]" allUniqueName="[fact_Transactions].[TransactionDate].[All]" dimensionUniqueName="[fact_Transactions]" displayFolder="" count="0" memberValueDatatype="7" unbalanced="0"/>
    <cacheHierarchy uniqueName="[fact_Transactions].[RevenueType]" caption="RevenueType" attribute="1" defaultMemberUniqueName="[fact_Transactions].[RevenueType].[All]" allUniqueName="[fact_Transactions].[RevenueType].[All]" dimensionUniqueName="[fact_Transactions]" displayFolder="" count="0" memberValueDatatype="130" unbalanced="0"/>
    <cacheHierarchy uniqueName="[Measures].[Sum of Revenue]" caption="Sum of Revenue" measure="1" displayFolder="" measureGroup="fact_Transactions" count="0">
      <extLst>
        <ext xmlns:x15="http://schemas.microsoft.com/office/spreadsheetml/2010/11/main" uri="{B97F6D7D-B522-45F9-BDA1-12C45D357490}">
          <x15:cacheHierarchy aggregatedColumn="26"/>
        </ext>
      </extLst>
    </cacheHierarchy>
    <cacheHierarchy uniqueName="[Measures].[Total Revenue]" caption="Total Revenue" measure="1" displayFolder="" measureGroup="fact_Transactions" count="0"/>
    <cacheHierarchy uniqueName="[Measures].[Core Sales Revenue]" caption="Core Sales Revenue" measure="1" displayFolder="" measureGroup="fact_Transactions" count="0" oneField="1">
      <fieldsUsage count="1">
        <fieldUsage x="1"/>
      </fieldsUsage>
    </cacheHierarchy>
    <cacheHierarchy uniqueName="[Measures].[Non-Core Revenue]" caption="Non-Core Revenue" measure="1" displayFolder="" measureGroup="fact_Transactions" count="0"/>
    <cacheHierarchy uniqueName="[Measures].[Transaction Lines]" caption="Transaction Lines" measure="1" displayFolder="" measureGroup="fact_Transactions" count="0"/>
    <cacheHierarchy uniqueName="[Measures].[Total Orders]" caption="Total Orders" measure="1" displayFolder="" measureGroup="fact_Transactions" count="0"/>
    <cacheHierarchy uniqueName="[Measures].[Core Orders]" caption="Core Orders" measure="1" displayFolder="" measureGroup="fact_Transactions" count="0" oneField="1">
      <fieldsUsage count="1">
        <fieldUsage x="2"/>
      </fieldsUsage>
    </cacheHierarchy>
    <cacheHierarchy uniqueName="[Measures].[Unique Customers]" caption="Unique Customers" measure="1" displayFolder="" measureGroup="fact_Transactions" count="0"/>
    <cacheHierarchy uniqueName="[Measures].[Average Order Value]" caption="Average Order Value" measure="1" displayFolder="" measureGroup="fact_Transactions" count="0" oneField="1">
      <fieldsUsage count="1">
        <fieldUsage x="3"/>
      </fieldsUsage>
    </cacheHierarchy>
    <cacheHierarchy uniqueName="[Measures].[Revenue per Customer]" caption="Revenue per Customer" measure="1" displayFolder="" measureGroup="fact_Transactions" count="0"/>
    <cacheHierarchy uniqueName="[Measures].[Core Units Sold]" caption="Core Units Sold" measure="1" displayFolder="" measureGroup="fact_Transactions" count="0"/>
    <cacheHierarchy uniqueName="[Measures].[Products Sold]" caption="Products Sold" measure="1" displayFolder="" measureGroup="fact_Transactions" count="0"/>
    <cacheHierarchy uniqueName="[Measures].[Cancellation Revenue]" caption="Cancellation Revenue" measure="1" displayFolder="" measureGroup="fact_Transactions" count="0"/>
    <cacheHierarchy uniqueName="[Measures].[Previous Year Core Revenue]" caption="Previous Year Core Revenue" measure="1" displayFolder="" measureGroup="fact_Transactions" count="0"/>
    <cacheHierarchy uniqueName="[Measures].[YoY Revenue Change]" caption="YoY Revenue Change" measure="1" displayFolder="" measureGroup="fact_Transactions" count="0"/>
    <cacheHierarchy uniqueName="[Measures].[YoY Revenue Growth %]" caption="YoY Revenue Growth %" measure="1" displayFolder="" measureGroup="fact_Transactions" count="0"/>
    <cacheHierarchy uniqueName="[Measures].[Core Revenue Share %]" caption="Core Revenue Share %" measure="1" displayFolder="" measureGroup="fact_Transactions" count="0"/>
    <cacheHierarchy uniqueName="[Measures].[Previous Month Core Revenue]" caption="Previous Month Core Revenue" measure="1" displayFolder="" measureGroup="fact_Transactions" count="0"/>
    <cacheHierarchy uniqueName="[Measures].[MoM Revenue Growth %]" caption="MoM Revenue Growth %" measure="1" displayFolder="" measureGroup="fact_Transactions" count="0"/>
    <cacheHierarchy uniqueName="[Measures].[__XL_Count fact_Transactions]" caption="__XL_Count fact_Transactions" measure="1" displayFolder="" measureGroup="fact_Transactions"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dim_Customer]" caption="__XL_Count dim_Customer" measure="1" displayFolder="" measureGroup="dim_Customer" count="0" hidden="1"/>
    <cacheHierarchy uniqueName="[Measures].[__XL_Count dim_Country]" caption="__XL_Count dim_Country" measure="1" displayFolder="" measureGroup="dim_Country" count="0" hidden="1"/>
    <cacheHierarchy uniqueName="[Measures].[__No measures defined]" caption="__No measures defined" measure="1" displayFolder="" count="0" hidden="1"/>
  </cacheHierarchies>
  <kpis count="0"/>
  <dimensions count="6">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Transactions" uniqueName="[fact_Transactions]" caption="fact_Transactions"/>
    <dimension measure="1" name="Measures" uniqueName="[Measures]" caption="Measures"/>
  </dimensions>
  <measureGroups count="5">
    <measureGroup name="dim_Country" caption="dim_Country"/>
    <measureGroup name="dim_Customer" caption="dim_Customer"/>
    <measureGroup name="dim_Date" caption="dim_Date"/>
    <measureGroup name="dim_Product" caption="dim_Product"/>
    <measureGroup name="fact_Transactions" caption="fact_Transactions"/>
  </measureGroups>
  <maps count="9">
    <map measureGroup="0" dimension="0"/>
    <map measureGroup="1" dimension="1"/>
    <map measureGroup="2"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ara Pires" refreshedDate="46271.877467361111" createdVersion="8" refreshedVersion="8" minRefreshableVersion="3" recordCount="0" supportSubquery="1" supportAdvancedDrill="1" xr:uid="{69DF445D-7238-4D67-B8C8-1A81E6F5B3E8}">
  <cacheSource type="external" connectionId="12"/>
  <cacheFields count="4">
    <cacheField name="[fact_Transactions].[Customer ID].[Customer ID]" caption="Customer ID" numFmtId="0" hierarchy="20" level="1">
      <sharedItems containsBlank="1" count="10">
        <m/>
        <s v="13694"/>
        <s v="14156"/>
        <s v="14646"/>
        <s v="14911"/>
        <s v="16446"/>
        <s v="16684"/>
        <s v="17450"/>
        <s v="17511"/>
        <s v="18102"/>
      </sharedItems>
    </cacheField>
    <cacheField name="[Measures].[Core Sales Revenue]" caption="Core Sales Revenue" numFmtId="0" hierarchy="38" level="32767"/>
    <cacheField name="[Measures].[Core Orders]" caption="Core Orders" numFmtId="0" hierarchy="42" level="32767"/>
    <cacheField name="[Measures].[Average Order Value]" caption="Average Order Value" numFmtId="0" hierarchy="44" level="32767"/>
  </cacheFields>
  <cacheHierarchies count="61">
    <cacheHierarchy uniqueName="[dim_Country].[Country]" caption="Country" attribute="1" defaultMemberUniqueName="[dim_Country].[Country].[All]" allUniqueName="[dim_Country].[Country].[All]" dimensionUniqueName="[dim_Country]" displayFolder="" count="0" memberValueDatatype="130" unbalanced="0"/>
    <cacheHierarchy uniqueName="[dim_Customer].[Customer ID]" caption="Customer ID" attribute="1" defaultMemberUniqueName="[dim_Customer].[Customer ID].[All]" allUniqueName="[dim_Customer].[Customer ID].[All]" dimensionUniqueName="[dim_Customer]" displayFolder="" count="0" memberValueDatatype="130" unbalanced="0"/>
    <cacheHierarchy uniqueName="[dim_Date].[Date]" caption="Date" attribute="1" time="1" keyAttribute="1" defaultMemberUniqueName="[dim_Date].[Date].[All]" allUniqueName="[dim_Date].[Date].[All]" dimensionUniqueName="[dim_Date]" displayFolder="" count="0" memberValueDatatype="7" unbalanced="0"/>
    <cacheHierarchy uniqueName="[dim_Date].[Year]" caption="Year" attribute="1" time="1" defaultMemberUniqueName="[dim_Date].[Year].[All]" allUniqueName="[dim_Date].[Year].[All]" dimensionUniqueName="[dim_Date]" displayFolder="" count="0" memberValueDatatype="20" unbalanced="0"/>
    <cacheHierarchy uniqueName="[dim_Date].[Quarter]" caption="Quarter" attribute="1" time="1" defaultMemberUniqueName="[dim_Date].[Quarter].[All]" allUniqueName="[dim_Date].[Quarter].[All]" dimensionUniqueName="[dim_Date]" displayFolder="" count="0" memberValueDatatype="20" unbalanced="0"/>
    <cacheHierarchy uniqueName="[dim_Date].[MonthNumber]" caption="MonthNumber" attribute="1" time="1" defaultMemberUniqueName="[dim_Date].[MonthNumber].[All]" allUniqueName="[dim_Date].[MonthNumber].[All]" dimensionUniqueName="[dim_Date]" displayFolder="" count="0" memberValueDatatype="20" unbalanced="0"/>
    <cacheHierarchy uniqueName="[dim_Date].[MonthName]" caption="MonthName" attribute="1" time="1" defaultMemberUniqueName="[dim_Date].[MonthName].[All]" allUniqueName="[dim_Date].[MonthName].[All]" dimensionUniqueName="[dim_Date]" displayFolder="" count="0" memberValueDatatype="130" unbalanced="0"/>
    <cacheHierarchy uniqueName="[dim_Date].[Day]" caption="Day" attribute="1" time="1" defaultMemberUniqueName="[dim_Date].[Day].[All]" allUniqueName="[dim_Date].[Day].[All]" dimensionUniqueName="[dim_Date]" displayFolder="" count="0" memberValueDatatype="20" unbalanced="0"/>
    <cacheHierarchy uniqueName="[dim_Date].[DayName]" caption="DayName" attribute="1" time="1" defaultMemberUniqueName="[dim_Date].[DayName].[All]" allUniqueName="[dim_Date].[DayName].[All]" dimensionUniqueName="[dim_Date]" displayFolder="" count="0" memberValueDatatype="130" unbalanced="0"/>
    <cacheHierarchy uniqueName="[dim_Date].[YearMonth]" caption="YearMonth" attribute="1" time="1" defaultMemberUniqueName="[dim_Date].[YearMonth].[All]" allUniqueName="[dim_Date].[YearMonth].[All]" dimensionUniqueName="[dim_Date]" displayFolder="" count="0" memberValueDatatype="130" unbalanced="0"/>
    <cacheHierarchy uniqueName="[dim_Product].[StockCode]" caption="StockCode" attribute="1" defaultMemberUniqueName="[dim_Product].[StockCode].[All]" allUniqueName="[dim_Product].[StockCode].[All]" dimensionUniqueName="[dim_Product]" displayFolder="" count="0" memberValueDatatype="130" unbalanced="0"/>
    <cacheHierarchy uniqueName="[dim_Product].[Description]" caption="Description" attribute="1" defaultMemberUniqueName="[dim_Product].[Description].[All]" allUniqueName="[dim_Product].[Description].[All]" dimensionUniqueName="[dim_Product]" displayFolder="" count="0" memberValueDatatype="130" unbalanced="0"/>
    <cacheHierarchy uniqueName="[dim_Product].[DescriptionCount]" caption="DescriptionCount" attribute="1" defaultMemberUniqueName="[dim_Product].[DescriptionCount].[All]" allUniqueName="[dim_Product].[DescriptionCount].[All]" dimensionUniqueName="[dim_Product]" displayFolder="" count="0" memberValueDatatype="130" unbalanced="0"/>
    <cacheHierarchy uniqueName="[dim_Product].[RecordType]" caption="RecordType" attribute="1" defaultMemberUniqueName="[dim_Product].[RecordType].[All]" allUniqueName="[dim_Product].[RecordType].[All]" dimensionUniqueName="[dim_Product]" displayFolder="" count="0" memberValueDatatype="130" unbalanced="0"/>
    <cacheHierarchy uniqueName="[fact_Transactions].[Invoice]" caption="Invoice" attribute="1" defaultMemberUniqueName="[fact_Transactions].[Invoice].[All]" allUniqueName="[fact_Transactions].[Invoice].[All]" dimensionUniqueName="[fact_Transactions]" displayFolder="" count="0" memberValueDatatype="130" unbalanced="0"/>
    <cacheHierarchy uniqueName="[fact_Transactions].[StockCode]" caption="StockCode" attribute="1" defaultMemberUniqueName="[fact_Transactions].[StockCode].[All]" allUniqueName="[fact_Transactions].[StockCode].[All]" dimensionUniqueName="[fact_Transactions]" displayFolder="" count="0" memberValueDatatype="130" unbalanced="0"/>
    <cacheHierarchy uniqueName="[fact_Transactions].[Description]" caption="Description" attribute="1" defaultMemberUniqueName="[fact_Transactions].[Description].[All]" allUniqueName="[fact_Transactions].[Description].[All]" dimensionUniqueName="[fact_Transactions]" displayFolder="" count="0" memberValueDatatype="130" unbalanced="0"/>
    <cacheHierarchy uniqueName="[fact_Transactions].[Quantity]" caption="Quantity" attribute="1" defaultMemberUniqueName="[fact_Transactions].[Quantity].[All]" allUniqueName="[fact_Transactions].[Quantity].[All]" dimensionUniqueName="[fact_Transactions]" displayFolder="" count="0" memberValueDatatype="20" unbalanced="0"/>
    <cacheHierarchy uniqueName="[fact_Transactions].[InvoiceDate]" caption="InvoiceDate" attribute="1" time="1" defaultMemberUniqueName="[fact_Transactions].[InvoiceDate].[All]" allUniqueName="[fact_Transactions].[InvoiceDate].[All]" dimensionUniqueName="[fact_Transactions]" displayFolder="" count="0" memberValueDatatype="7" unbalanced="0"/>
    <cacheHierarchy uniqueName="[fact_Transactions].[Price]" caption="Price" attribute="1" defaultMemberUniqueName="[fact_Transactions].[Price].[All]" allUniqueName="[fact_Transactions].[Price].[All]" dimensionUniqueName="[fact_Transactions]" displayFolder="" count="0" memberValueDatatype="5" unbalanced="0"/>
    <cacheHierarchy uniqueName="[fact_Transactions].[Customer ID]" caption="Customer ID" attribute="1" defaultMemberUniqueName="[fact_Transactions].[Customer ID].[All]" allUniqueName="[fact_Transactions].[Customer ID].[All]" dimensionUniqueName="[fact_Transactions]" displayFolder="" count="2" memberValueDatatype="130" unbalanced="0">
      <fieldsUsage count="2">
        <fieldUsage x="-1"/>
        <fieldUsage x="0"/>
      </fieldsUsage>
    </cacheHierarchy>
    <cacheHierarchy uniqueName="[fact_Transactions].[Country]" caption="Country" attribute="1" defaultMemberUniqueName="[fact_Transactions].[Country].[All]" allUniqueName="[fact_Transactions].[Country].[All]" dimensionUniqueName="[fact_Transactions]" displayFolder="" count="0" memberValueDatatype="130" unbalanced="0"/>
    <cacheHierarchy uniqueName="[fact_Transactions].[InvoiceType]" caption="InvoiceType" attribute="1" defaultMemberUniqueName="[fact_Transactions].[InvoiceType].[All]" allUniqueName="[fact_Transactions].[InvoiceType].[All]" dimensionUniqueName="[fact_Transactions]" displayFolder="" count="0" memberValueDatatype="130" unbalanced="0"/>
    <cacheHierarchy uniqueName="[fact_Transactions].[QuantityType]" caption="QuantityType" attribute="1" defaultMemberUniqueName="[fact_Transactions].[QuantityType].[All]" allUniqueName="[fact_Transactions].[QuantityType].[All]" dimensionUniqueName="[fact_Transactions]" displayFolder="" count="0" memberValueDatatype="130" unbalanced="0"/>
    <cacheHierarchy uniqueName="[fact_Transactions].[RecordType]" caption="RecordType" attribute="1" defaultMemberUniqueName="[fact_Transactions].[RecordType].[All]" allUniqueName="[fact_Transactions].[RecordType].[All]" dimensionUniqueName="[fact_Transactions]" displayFolder="" count="0" memberValueDatatype="130" unbalanced="0"/>
    <cacheHierarchy uniqueName="[fact_Transactions].[AnalysisStatus]" caption="AnalysisStatus" attribute="1" defaultMemberUniqueName="[fact_Transactions].[AnalysisStatus].[All]" allUniqueName="[fact_Transactions].[AnalysisStatus].[All]" dimensionUniqueName="[fact_Transactions]" displayFolder="" count="0" memberValueDatatype="130" unbalanced="0"/>
    <cacheHierarchy uniqueName="[fact_Transactions].[Revenue]" caption="Revenue" attribute="1" defaultMemberUniqueName="[fact_Transactions].[Revenue].[All]" allUniqueName="[fact_Transactions].[Revenue].[All]" dimensionUniqueName="[fact_Transactions]" displayFolder="" count="0" memberValueDatatype="5" unbalanced="0"/>
    <cacheHierarchy uniqueName="[fact_Transactions].[Year]" caption="Year" attribute="1" defaultMemberUniqueName="[fact_Transactions].[Year].[All]" allUniqueName="[fact_Transactions].[Year].[All]" dimensionUniqueName="[fact_Transactions]" displayFolder="" count="0" memberValueDatatype="20" unbalanced="0"/>
    <cacheHierarchy uniqueName="[fact_Transactions].[Quarter]" caption="Quarter" attribute="1" defaultMemberUniqueName="[fact_Transactions].[Quarter].[All]" allUniqueName="[fact_Transactions].[Quarter].[All]" dimensionUniqueName="[fact_Transactions]" displayFolder="" count="0" memberValueDatatype="20" unbalanced="0"/>
    <cacheHierarchy uniqueName="[fact_Transactions].[Month]" caption="Month" attribute="1" defaultMemberUniqueName="[fact_Transactions].[Month].[All]" allUniqueName="[fact_Transactions].[Month].[All]" dimensionUniqueName="[fact_Transactions]" displayFolder="" count="0" memberValueDatatype="20" unbalanced="0"/>
    <cacheHierarchy uniqueName="[fact_Transactions].[Month Name]" caption="Month Name" attribute="1" defaultMemberUniqueName="[fact_Transactions].[Month Name].[All]" allUniqueName="[fact_Transactions].[Month Name].[All]" dimensionUniqueName="[fact_Transactions]" displayFolder="" count="0" memberValueDatatype="130" unbalanced="0"/>
    <cacheHierarchy uniqueName="[fact_Transactions].[Day Name]" caption="Day Name" attribute="1" defaultMemberUniqueName="[fact_Transactions].[Day Name].[All]" allUniqueName="[fact_Transactions].[Day Name].[All]" dimensionUniqueName="[fact_Transactions]" displayFolder="" count="0" memberValueDatatype="130" unbalanced="0"/>
    <cacheHierarchy uniqueName="[fact_Transactions].[Hour]" caption="Hour" attribute="1" defaultMemberUniqueName="[fact_Transactions].[Hour].[All]" allUniqueName="[fact_Transactions].[Hour].[All]" dimensionUniqueName="[fact_Transactions]" displayFolder="" count="0" memberValueDatatype="20" unbalanced="0"/>
    <cacheHierarchy uniqueName="[fact_Transactions].[YearMonth]" caption="YearMonth" attribute="1" defaultMemberUniqueName="[fact_Transactions].[YearMonth].[All]" allUniqueName="[fact_Transactions].[YearMonth].[All]" dimensionUniqueName="[fact_Transactions]" displayFolder="" count="0" memberValueDatatype="130" unbalanced="0"/>
    <cacheHierarchy uniqueName="[fact_Transactions].[TransactionDate]" caption="TransactionDate" attribute="1" time="1" defaultMemberUniqueName="[fact_Transactions].[TransactionDate].[All]" allUniqueName="[fact_Transactions].[TransactionDate].[All]" dimensionUniqueName="[fact_Transactions]" displayFolder="" count="0" memberValueDatatype="7" unbalanced="0"/>
    <cacheHierarchy uniqueName="[fact_Transactions].[RevenueType]" caption="RevenueType" attribute="1" defaultMemberUniqueName="[fact_Transactions].[RevenueType].[All]" allUniqueName="[fact_Transactions].[RevenueType].[All]" dimensionUniqueName="[fact_Transactions]" displayFolder="" count="0" memberValueDatatype="130" unbalanced="0"/>
    <cacheHierarchy uniqueName="[Measures].[Sum of Revenue]" caption="Sum of Revenue" measure="1" displayFolder="" measureGroup="fact_Transactions" count="0">
      <extLst>
        <ext xmlns:x15="http://schemas.microsoft.com/office/spreadsheetml/2010/11/main" uri="{B97F6D7D-B522-45F9-BDA1-12C45D357490}">
          <x15:cacheHierarchy aggregatedColumn="26"/>
        </ext>
      </extLst>
    </cacheHierarchy>
    <cacheHierarchy uniqueName="[Measures].[Total Revenue]" caption="Total Revenue" measure="1" displayFolder="" measureGroup="fact_Transactions" count="0"/>
    <cacheHierarchy uniqueName="[Measures].[Core Sales Revenue]" caption="Core Sales Revenue" measure="1" displayFolder="" measureGroup="fact_Transactions" count="0" oneField="1">
      <fieldsUsage count="1">
        <fieldUsage x="1"/>
      </fieldsUsage>
    </cacheHierarchy>
    <cacheHierarchy uniqueName="[Measures].[Non-Core Revenue]" caption="Non-Core Revenue" measure="1" displayFolder="" measureGroup="fact_Transactions" count="0"/>
    <cacheHierarchy uniqueName="[Measures].[Transaction Lines]" caption="Transaction Lines" measure="1" displayFolder="" measureGroup="fact_Transactions" count="0"/>
    <cacheHierarchy uniqueName="[Measures].[Total Orders]" caption="Total Orders" measure="1" displayFolder="" measureGroup="fact_Transactions" count="0"/>
    <cacheHierarchy uniqueName="[Measures].[Core Orders]" caption="Core Orders" measure="1" displayFolder="" measureGroup="fact_Transactions" count="0" oneField="1">
      <fieldsUsage count="1">
        <fieldUsage x="2"/>
      </fieldsUsage>
    </cacheHierarchy>
    <cacheHierarchy uniqueName="[Measures].[Unique Customers]" caption="Unique Customers" measure="1" displayFolder="" measureGroup="fact_Transactions" count="0"/>
    <cacheHierarchy uniqueName="[Measures].[Average Order Value]" caption="Average Order Value" measure="1" displayFolder="" measureGroup="fact_Transactions" count="0" oneField="1">
      <fieldsUsage count="1">
        <fieldUsage x="3"/>
      </fieldsUsage>
    </cacheHierarchy>
    <cacheHierarchy uniqueName="[Measures].[Revenue per Customer]" caption="Revenue per Customer" measure="1" displayFolder="" measureGroup="fact_Transactions" count="0"/>
    <cacheHierarchy uniqueName="[Measures].[Core Units Sold]" caption="Core Units Sold" measure="1" displayFolder="" measureGroup="fact_Transactions" count="0"/>
    <cacheHierarchy uniqueName="[Measures].[Products Sold]" caption="Products Sold" measure="1" displayFolder="" measureGroup="fact_Transactions" count="0"/>
    <cacheHierarchy uniqueName="[Measures].[Cancellation Revenue]" caption="Cancellation Revenue" measure="1" displayFolder="" measureGroup="fact_Transactions" count="0"/>
    <cacheHierarchy uniqueName="[Measures].[Previous Year Core Revenue]" caption="Previous Year Core Revenue" measure="1" displayFolder="" measureGroup="fact_Transactions" count="0"/>
    <cacheHierarchy uniqueName="[Measures].[YoY Revenue Change]" caption="YoY Revenue Change" measure="1" displayFolder="" measureGroup="fact_Transactions" count="0"/>
    <cacheHierarchy uniqueName="[Measures].[YoY Revenue Growth %]" caption="YoY Revenue Growth %" measure="1" displayFolder="" measureGroup="fact_Transactions" count="0"/>
    <cacheHierarchy uniqueName="[Measures].[Core Revenue Share %]" caption="Core Revenue Share %" measure="1" displayFolder="" measureGroup="fact_Transactions" count="0"/>
    <cacheHierarchy uniqueName="[Measures].[Previous Month Core Revenue]" caption="Previous Month Core Revenue" measure="1" displayFolder="" measureGroup="fact_Transactions" count="0"/>
    <cacheHierarchy uniqueName="[Measures].[MoM Revenue Growth %]" caption="MoM Revenue Growth %" measure="1" displayFolder="" measureGroup="fact_Transactions" count="0"/>
    <cacheHierarchy uniqueName="[Measures].[__XL_Count fact_Transactions]" caption="__XL_Count fact_Transactions" measure="1" displayFolder="" measureGroup="fact_Transactions"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dim_Customer]" caption="__XL_Count dim_Customer" measure="1" displayFolder="" measureGroup="dim_Customer" count="0" hidden="1"/>
    <cacheHierarchy uniqueName="[Measures].[__XL_Count dim_Country]" caption="__XL_Count dim_Country" measure="1" displayFolder="" measureGroup="dim_Country" count="0" hidden="1"/>
    <cacheHierarchy uniqueName="[Measures].[__No measures defined]" caption="__No measures defined" measure="1" displayFolder="" count="0" hidden="1"/>
  </cacheHierarchies>
  <kpis count="0"/>
  <dimensions count="6">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Transactions" uniqueName="[fact_Transactions]" caption="fact_Transactions"/>
    <dimension measure="1" name="Measures" uniqueName="[Measures]" caption="Measures"/>
  </dimensions>
  <measureGroups count="5">
    <measureGroup name="dim_Country" caption="dim_Country"/>
    <measureGroup name="dim_Customer" caption="dim_Customer"/>
    <measureGroup name="dim_Date" caption="dim_Date"/>
    <measureGroup name="dim_Product" caption="dim_Product"/>
    <measureGroup name="fact_Transactions" caption="fact_Transactions"/>
  </measureGroups>
  <maps count="9">
    <map measureGroup="0" dimension="0"/>
    <map measureGroup="1" dimension="1"/>
    <map measureGroup="2"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ara Pires" refreshedDate="46271.877470254629" createdVersion="8" refreshedVersion="8" minRefreshableVersion="3" recordCount="0" supportSubquery="1" supportAdvancedDrill="1" xr:uid="{2CF0B595-107C-4158-B12A-6FFF1610950E}">
  <cacheSource type="external" connectionId="12"/>
  <cacheFields count="2">
    <cacheField name="[fact_Transactions].[Customer ID].[Customer ID]" caption="Customer ID" numFmtId="0" hierarchy="20" level="1">
      <sharedItems containsBlank="1" count="10">
        <m/>
        <s v="13694"/>
        <s v="14156"/>
        <s v="14646"/>
        <s v="14911"/>
        <s v="16446"/>
        <s v="16684"/>
        <s v="17450"/>
        <s v="17511"/>
        <s v="18102"/>
      </sharedItems>
    </cacheField>
    <cacheField name="[Measures].[Core Sales Revenue]" caption="Core Sales Revenue" numFmtId="0" hierarchy="38" level="32767"/>
  </cacheFields>
  <cacheHierarchies count="61">
    <cacheHierarchy uniqueName="[dim_Country].[Country]" caption="Country" attribute="1" defaultMemberUniqueName="[dim_Country].[Country].[All]" allUniqueName="[dim_Country].[Country].[All]" dimensionUniqueName="[dim_Country]" displayFolder="" count="0" memberValueDatatype="130" unbalanced="0"/>
    <cacheHierarchy uniqueName="[dim_Customer].[Customer ID]" caption="Customer ID" attribute="1" defaultMemberUniqueName="[dim_Customer].[Customer ID].[All]" allUniqueName="[dim_Customer].[Customer ID].[All]" dimensionUniqueName="[dim_Customer]" displayFolder="" count="0" memberValueDatatype="130" unbalanced="0"/>
    <cacheHierarchy uniqueName="[dim_Date].[Date]" caption="Date" attribute="1" time="1" keyAttribute="1" defaultMemberUniqueName="[dim_Date].[Date].[All]" allUniqueName="[dim_Date].[Date].[All]" dimensionUniqueName="[dim_Date]" displayFolder="" count="0" memberValueDatatype="7" unbalanced="0"/>
    <cacheHierarchy uniqueName="[dim_Date].[Year]" caption="Year" attribute="1" time="1" defaultMemberUniqueName="[dim_Date].[Year].[All]" allUniqueName="[dim_Date].[Year].[All]" dimensionUniqueName="[dim_Date]" displayFolder="" count="0" memberValueDatatype="20" unbalanced="0"/>
    <cacheHierarchy uniqueName="[dim_Date].[Quarter]" caption="Quarter" attribute="1" time="1" defaultMemberUniqueName="[dim_Date].[Quarter].[All]" allUniqueName="[dim_Date].[Quarter].[All]" dimensionUniqueName="[dim_Date]" displayFolder="" count="0" memberValueDatatype="20" unbalanced="0"/>
    <cacheHierarchy uniqueName="[dim_Date].[MonthNumber]" caption="MonthNumber" attribute="1" time="1" defaultMemberUniqueName="[dim_Date].[MonthNumber].[All]" allUniqueName="[dim_Date].[MonthNumber].[All]" dimensionUniqueName="[dim_Date]" displayFolder="" count="0" memberValueDatatype="20" unbalanced="0"/>
    <cacheHierarchy uniqueName="[dim_Date].[MonthName]" caption="MonthName" attribute="1" time="1" defaultMemberUniqueName="[dim_Date].[MonthName].[All]" allUniqueName="[dim_Date].[MonthName].[All]" dimensionUniqueName="[dim_Date]" displayFolder="" count="0" memberValueDatatype="130" unbalanced="0"/>
    <cacheHierarchy uniqueName="[dim_Date].[Day]" caption="Day" attribute="1" time="1" defaultMemberUniqueName="[dim_Date].[Day].[All]" allUniqueName="[dim_Date].[Day].[All]" dimensionUniqueName="[dim_Date]" displayFolder="" count="0" memberValueDatatype="20" unbalanced="0"/>
    <cacheHierarchy uniqueName="[dim_Date].[DayName]" caption="DayName" attribute="1" time="1" defaultMemberUniqueName="[dim_Date].[DayName].[All]" allUniqueName="[dim_Date].[DayName].[All]" dimensionUniqueName="[dim_Date]" displayFolder="" count="0" memberValueDatatype="130" unbalanced="0"/>
    <cacheHierarchy uniqueName="[dim_Date].[YearMonth]" caption="YearMonth" attribute="1" time="1" defaultMemberUniqueName="[dim_Date].[YearMonth].[All]" allUniqueName="[dim_Date].[YearMonth].[All]" dimensionUniqueName="[dim_Date]" displayFolder="" count="0" memberValueDatatype="130" unbalanced="0"/>
    <cacheHierarchy uniqueName="[dim_Product].[StockCode]" caption="StockCode" attribute="1" defaultMemberUniqueName="[dim_Product].[StockCode].[All]" allUniqueName="[dim_Product].[StockCode].[All]" dimensionUniqueName="[dim_Product]" displayFolder="" count="0" memberValueDatatype="130" unbalanced="0"/>
    <cacheHierarchy uniqueName="[dim_Product].[Description]" caption="Description" attribute="1" defaultMemberUniqueName="[dim_Product].[Description].[All]" allUniqueName="[dim_Product].[Description].[All]" dimensionUniqueName="[dim_Product]" displayFolder="" count="0" memberValueDatatype="130" unbalanced="0"/>
    <cacheHierarchy uniqueName="[dim_Product].[DescriptionCount]" caption="DescriptionCount" attribute="1" defaultMemberUniqueName="[dim_Product].[DescriptionCount].[All]" allUniqueName="[dim_Product].[DescriptionCount].[All]" dimensionUniqueName="[dim_Product]" displayFolder="" count="0" memberValueDatatype="130" unbalanced="0"/>
    <cacheHierarchy uniqueName="[dim_Product].[RecordType]" caption="RecordType" attribute="1" defaultMemberUniqueName="[dim_Product].[RecordType].[All]" allUniqueName="[dim_Product].[RecordType].[All]" dimensionUniqueName="[dim_Product]" displayFolder="" count="0" memberValueDatatype="130" unbalanced="0"/>
    <cacheHierarchy uniqueName="[fact_Transactions].[Invoice]" caption="Invoice" attribute="1" defaultMemberUniqueName="[fact_Transactions].[Invoice].[All]" allUniqueName="[fact_Transactions].[Invoice].[All]" dimensionUniqueName="[fact_Transactions]" displayFolder="" count="0" memberValueDatatype="130" unbalanced="0"/>
    <cacheHierarchy uniqueName="[fact_Transactions].[StockCode]" caption="StockCode" attribute="1" defaultMemberUniqueName="[fact_Transactions].[StockCode].[All]" allUniqueName="[fact_Transactions].[StockCode].[All]" dimensionUniqueName="[fact_Transactions]" displayFolder="" count="0" memberValueDatatype="130" unbalanced="0"/>
    <cacheHierarchy uniqueName="[fact_Transactions].[Description]" caption="Description" attribute="1" defaultMemberUniqueName="[fact_Transactions].[Description].[All]" allUniqueName="[fact_Transactions].[Description].[All]" dimensionUniqueName="[fact_Transactions]" displayFolder="" count="0" memberValueDatatype="130" unbalanced="0"/>
    <cacheHierarchy uniqueName="[fact_Transactions].[Quantity]" caption="Quantity" attribute="1" defaultMemberUniqueName="[fact_Transactions].[Quantity].[All]" allUniqueName="[fact_Transactions].[Quantity].[All]" dimensionUniqueName="[fact_Transactions]" displayFolder="" count="0" memberValueDatatype="20" unbalanced="0"/>
    <cacheHierarchy uniqueName="[fact_Transactions].[InvoiceDate]" caption="InvoiceDate" attribute="1" time="1" defaultMemberUniqueName="[fact_Transactions].[InvoiceDate].[All]" allUniqueName="[fact_Transactions].[InvoiceDate].[All]" dimensionUniqueName="[fact_Transactions]" displayFolder="" count="0" memberValueDatatype="7" unbalanced="0"/>
    <cacheHierarchy uniqueName="[fact_Transactions].[Price]" caption="Price" attribute="1" defaultMemberUniqueName="[fact_Transactions].[Price].[All]" allUniqueName="[fact_Transactions].[Price].[All]" dimensionUniqueName="[fact_Transactions]" displayFolder="" count="0" memberValueDatatype="5" unbalanced="0"/>
    <cacheHierarchy uniqueName="[fact_Transactions].[Customer ID]" caption="Customer ID" attribute="1" defaultMemberUniqueName="[fact_Transactions].[Customer ID].[All]" allUniqueName="[fact_Transactions].[Customer ID].[All]" dimensionUniqueName="[fact_Transactions]" displayFolder="" count="2" memberValueDatatype="130" unbalanced="0">
      <fieldsUsage count="2">
        <fieldUsage x="-1"/>
        <fieldUsage x="0"/>
      </fieldsUsage>
    </cacheHierarchy>
    <cacheHierarchy uniqueName="[fact_Transactions].[Country]" caption="Country" attribute="1" defaultMemberUniqueName="[fact_Transactions].[Country].[All]" allUniqueName="[fact_Transactions].[Country].[All]" dimensionUniqueName="[fact_Transactions]" displayFolder="" count="0" memberValueDatatype="130" unbalanced="0"/>
    <cacheHierarchy uniqueName="[fact_Transactions].[InvoiceType]" caption="InvoiceType" attribute="1" defaultMemberUniqueName="[fact_Transactions].[InvoiceType].[All]" allUniqueName="[fact_Transactions].[InvoiceType].[All]" dimensionUniqueName="[fact_Transactions]" displayFolder="" count="0" memberValueDatatype="130" unbalanced="0"/>
    <cacheHierarchy uniqueName="[fact_Transactions].[QuantityType]" caption="QuantityType" attribute="1" defaultMemberUniqueName="[fact_Transactions].[QuantityType].[All]" allUniqueName="[fact_Transactions].[QuantityType].[All]" dimensionUniqueName="[fact_Transactions]" displayFolder="" count="0" memberValueDatatype="130" unbalanced="0"/>
    <cacheHierarchy uniqueName="[fact_Transactions].[RecordType]" caption="RecordType" attribute="1" defaultMemberUniqueName="[fact_Transactions].[RecordType].[All]" allUniqueName="[fact_Transactions].[RecordType].[All]" dimensionUniqueName="[fact_Transactions]" displayFolder="" count="0" memberValueDatatype="130" unbalanced="0"/>
    <cacheHierarchy uniqueName="[fact_Transactions].[AnalysisStatus]" caption="AnalysisStatus" attribute="1" defaultMemberUniqueName="[fact_Transactions].[AnalysisStatus].[All]" allUniqueName="[fact_Transactions].[AnalysisStatus].[All]" dimensionUniqueName="[fact_Transactions]" displayFolder="" count="0" memberValueDatatype="130" unbalanced="0"/>
    <cacheHierarchy uniqueName="[fact_Transactions].[Revenue]" caption="Revenue" attribute="1" defaultMemberUniqueName="[fact_Transactions].[Revenue].[All]" allUniqueName="[fact_Transactions].[Revenue].[All]" dimensionUniqueName="[fact_Transactions]" displayFolder="" count="0" memberValueDatatype="5" unbalanced="0"/>
    <cacheHierarchy uniqueName="[fact_Transactions].[Year]" caption="Year" attribute="1" defaultMemberUniqueName="[fact_Transactions].[Year].[All]" allUniqueName="[fact_Transactions].[Year].[All]" dimensionUniqueName="[fact_Transactions]" displayFolder="" count="0" memberValueDatatype="20" unbalanced="0"/>
    <cacheHierarchy uniqueName="[fact_Transactions].[Quarter]" caption="Quarter" attribute="1" defaultMemberUniqueName="[fact_Transactions].[Quarter].[All]" allUniqueName="[fact_Transactions].[Quarter].[All]" dimensionUniqueName="[fact_Transactions]" displayFolder="" count="0" memberValueDatatype="20" unbalanced="0"/>
    <cacheHierarchy uniqueName="[fact_Transactions].[Month]" caption="Month" attribute="1" defaultMemberUniqueName="[fact_Transactions].[Month].[All]" allUniqueName="[fact_Transactions].[Month].[All]" dimensionUniqueName="[fact_Transactions]" displayFolder="" count="0" memberValueDatatype="20" unbalanced="0"/>
    <cacheHierarchy uniqueName="[fact_Transactions].[Month Name]" caption="Month Name" attribute="1" defaultMemberUniqueName="[fact_Transactions].[Month Name].[All]" allUniqueName="[fact_Transactions].[Month Name].[All]" dimensionUniqueName="[fact_Transactions]" displayFolder="" count="0" memberValueDatatype="130" unbalanced="0"/>
    <cacheHierarchy uniqueName="[fact_Transactions].[Day Name]" caption="Day Name" attribute="1" defaultMemberUniqueName="[fact_Transactions].[Day Name].[All]" allUniqueName="[fact_Transactions].[Day Name].[All]" dimensionUniqueName="[fact_Transactions]" displayFolder="" count="0" memberValueDatatype="130" unbalanced="0"/>
    <cacheHierarchy uniqueName="[fact_Transactions].[Hour]" caption="Hour" attribute="1" defaultMemberUniqueName="[fact_Transactions].[Hour].[All]" allUniqueName="[fact_Transactions].[Hour].[All]" dimensionUniqueName="[fact_Transactions]" displayFolder="" count="0" memberValueDatatype="20" unbalanced="0"/>
    <cacheHierarchy uniqueName="[fact_Transactions].[YearMonth]" caption="YearMonth" attribute="1" defaultMemberUniqueName="[fact_Transactions].[YearMonth].[All]" allUniqueName="[fact_Transactions].[YearMonth].[All]" dimensionUniqueName="[fact_Transactions]" displayFolder="" count="0" memberValueDatatype="130" unbalanced="0"/>
    <cacheHierarchy uniqueName="[fact_Transactions].[TransactionDate]" caption="TransactionDate" attribute="1" time="1" defaultMemberUniqueName="[fact_Transactions].[TransactionDate].[All]" allUniqueName="[fact_Transactions].[TransactionDate].[All]" dimensionUniqueName="[fact_Transactions]" displayFolder="" count="0" memberValueDatatype="7" unbalanced="0"/>
    <cacheHierarchy uniqueName="[fact_Transactions].[RevenueType]" caption="RevenueType" attribute="1" defaultMemberUniqueName="[fact_Transactions].[RevenueType].[All]" allUniqueName="[fact_Transactions].[RevenueType].[All]" dimensionUniqueName="[fact_Transactions]" displayFolder="" count="0" memberValueDatatype="130" unbalanced="0"/>
    <cacheHierarchy uniqueName="[Measures].[Sum of Revenue]" caption="Sum of Revenue" measure="1" displayFolder="" measureGroup="fact_Transactions" count="0">
      <extLst>
        <ext xmlns:x15="http://schemas.microsoft.com/office/spreadsheetml/2010/11/main" uri="{B97F6D7D-B522-45F9-BDA1-12C45D357490}">
          <x15:cacheHierarchy aggregatedColumn="26"/>
        </ext>
      </extLst>
    </cacheHierarchy>
    <cacheHierarchy uniqueName="[Measures].[Total Revenue]" caption="Total Revenue" measure="1" displayFolder="" measureGroup="fact_Transactions" count="0"/>
    <cacheHierarchy uniqueName="[Measures].[Core Sales Revenue]" caption="Core Sales Revenue" measure="1" displayFolder="" measureGroup="fact_Transactions" count="0" oneField="1">
      <fieldsUsage count="1">
        <fieldUsage x="1"/>
      </fieldsUsage>
    </cacheHierarchy>
    <cacheHierarchy uniqueName="[Measures].[Non-Core Revenue]" caption="Non-Core Revenue" measure="1" displayFolder="" measureGroup="fact_Transactions" count="0"/>
    <cacheHierarchy uniqueName="[Measures].[Transaction Lines]" caption="Transaction Lines" measure="1" displayFolder="" measureGroup="fact_Transactions" count="0"/>
    <cacheHierarchy uniqueName="[Measures].[Total Orders]" caption="Total Orders" measure="1" displayFolder="" measureGroup="fact_Transactions" count="0"/>
    <cacheHierarchy uniqueName="[Measures].[Core Orders]" caption="Core Orders" measure="1" displayFolder="" measureGroup="fact_Transactions" count="0"/>
    <cacheHierarchy uniqueName="[Measures].[Unique Customers]" caption="Unique Customers" measure="1" displayFolder="" measureGroup="fact_Transactions" count="0"/>
    <cacheHierarchy uniqueName="[Measures].[Average Order Value]" caption="Average Order Value" measure="1" displayFolder="" measureGroup="fact_Transactions" count="0"/>
    <cacheHierarchy uniqueName="[Measures].[Revenue per Customer]" caption="Revenue per Customer" measure="1" displayFolder="" measureGroup="fact_Transactions" count="0"/>
    <cacheHierarchy uniqueName="[Measures].[Core Units Sold]" caption="Core Units Sold" measure="1" displayFolder="" measureGroup="fact_Transactions" count="0"/>
    <cacheHierarchy uniqueName="[Measures].[Products Sold]" caption="Products Sold" measure="1" displayFolder="" measureGroup="fact_Transactions" count="0"/>
    <cacheHierarchy uniqueName="[Measures].[Cancellation Revenue]" caption="Cancellation Revenue" measure="1" displayFolder="" measureGroup="fact_Transactions" count="0"/>
    <cacheHierarchy uniqueName="[Measures].[Previous Year Core Revenue]" caption="Previous Year Core Revenue" measure="1" displayFolder="" measureGroup="fact_Transactions" count="0"/>
    <cacheHierarchy uniqueName="[Measures].[YoY Revenue Change]" caption="YoY Revenue Change" measure="1" displayFolder="" measureGroup="fact_Transactions" count="0"/>
    <cacheHierarchy uniqueName="[Measures].[YoY Revenue Growth %]" caption="YoY Revenue Growth %" measure="1" displayFolder="" measureGroup="fact_Transactions" count="0"/>
    <cacheHierarchy uniqueName="[Measures].[Core Revenue Share %]" caption="Core Revenue Share %" measure="1" displayFolder="" measureGroup="fact_Transactions" count="0"/>
    <cacheHierarchy uniqueName="[Measures].[Previous Month Core Revenue]" caption="Previous Month Core Revenue" measure="1" displayFolder="" measureGroup="fact_Transactions" count="0"/>
    <cacheHierarchy uniqueName="[Measures].[MoM Revenue Growth %]" caption="MoM Revenue Growth %" measure="1" displayFolder="" measureGroup="fact_Transactions" count="0"/>
    <cacheHierarchy uniqueName="[Measures].[__XL_Count fact_Transactions]" caption="__XL_Count fact_Transactions" measure="1" displayFolder="" measureGroup="fact_Transactions"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dim_Customer]" caption="__XL_Count dim_Customer" measure="1" displayFolder="" measureGroup="dim_Customer" count="0" hidden="1"/>
    <cacheHierarchy uniqueName="[Measures].[__XL_Count dim_Country]" caption="__XL_Count dim_Country" measure="1" displayFolder="" measureGroup="dim_Country" count="0" hidden="1"/>
    <cacheHierarchy uniqueName="[Measures].[__No measures defined]" caption="__No measures defined" measure="1" displayFolder="" count="0" hidden="1"/>
  </cacheHierarchies>
  <kpis count="0"/>
  <dimensions count="6">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Transactions" uniqueName="[fact_Transactions]" caption="fact_Transactions"/>
    <dimension measure="1" name="Measures" uniqueName="[Measures]" caption="Measures"/>
  </dimensions>
  <measureGroups count="5">
    <measureGroup name="dim_Country" caption="dim_Country"/>
    <measureGroup name="dim_Customer" caption="dim_Customer"/>
    <measureGroup name="dim_Date" caption="dim_Date"/>
    <measureGroup name="dim_Product" caption="dim_Product"/>
    <measureGroup name="fact_Transactions" caption="fact_Transactions"/>
  </measureGroups>
  <maps count="9">
    <map measureGroup="0" dimension="0"/>
    <map measureGroup="1" dimension="1"/>
    <map measureGroup="2"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ara Pires" refreshedDate="46271.877473148146" createdVersion="8" refreshedVersion="8" minRefreshableVersion="3" recordCount="0" supportSubquery="1" supportAdvancedDrill="1" xr:uid="{FE784807-5D5A-4DFC-9E00-88D38EEC357C}">
  <cacheSource type="external" connectionId="12"/>
  <cacheFields count="4">
    <cacheField name="[fact_Transactions].[Customer ID].[Customer ID]" caption="Customer ID" numFmtId="0" hierarchy="20" level="1">
      <sharedItems containsBlank="1" count="10">
        <m/>
        <s v="13694"/>
        <s v="14156"/>
        <s v="14646"/>
        <s v="14911"/>
        <s v="16446"/>
        <s v="16684"/>
        <s v="17450"/>
        <s v="17511"/>
        <s v="18102"/>
      </sharedItems>
    </cacheField>
    <cacheField name="[Measures].[Core Sales Revenue]" caption="Core Sales Revenue" numFmtId="0" hierarchy="38" level="32767"/>
    <cacheField name="[Measures].[Core Orders]" caption="Core Orders" numFmtId="0" hierarchy="42" level="32767"/>
    <cacheField name="[Measures].[Core Units Sold]" caption="Core Units Sold" numFmtId="0" hierarchy="46" level="32767"/>
  </cacheFields>
  <cacheHierarchies count="61">
    <cacheHierarchy uniqueName="[dim_Country].[Country]" caption="Country" attribute="1" defaultMemberUniqueName="[dim_Country].[Country].[All]" allUniqueName="[dim_Country].[Country].[All]" dimensionUniqueName="[dim_Country]" displayFolder="" count="0" memberValueDatatype="130" unbalanced="0"/>
    <cacheHierarchy uniqueName="[dim_Customer].[Customer ID]" caption="Customer ID" attribute="1" defaultMemberUniqueName="[dim_Customer].[Customer ID].[All]" allUniqueName="[dim_Customer].[Customer ID].[All]" dimensionUniqueName="[dim_Customer]" displayFolder="" count="0" memberValueDatatype="130" unbalanced="0"/>
    <cacheHierarchy uniqueName="[dim_Date].[Date]" caption="Date" attribute="1" time="1" keyAttribute="1" defaultMemberUniqueName="[dim_Date].[Date].[All]" allUniqueName="[dim_Date].[Date].[All]" dimensionUniqueName="[dim_Date]" displayFolder="" count="0" memberValueDatatype="7" unbalanced="0"/>
    <cacheHierarchy uniqueName="[dim_Date].[Year]" caption="Year" attribute="1" time="1" defaultMemberUniqueName="[dim_Date].[Year].[All]" allUniqueName="[dim_Date].[Year].[All]" dimensionUniqueName="[dim_Date]" displayFolder="" count="0" memberValueDatatype="20" unbalanced="0"/>
    <cacheHierarchy uniqueName="[dim_Date].[Quarter]" caption="Quarter" attribute="1" time="1" defaultMemberUniqueName="[dim_Date].[Quarter].[All]" allUniqueName="[dim_Date].[Quarter].[All]" dimensionUniqueName="[dim_Date]" displayFolder="" count="0" memberValueDatatype="20" unbalanced="0"/>
    <cacheHierarchy uniqueName="[dim_Date].[MonthNumber]" caption="MonthNumber" attribute="1" time="1" defaultMemberUniqueName="[dim_Date].[MonthNumber].[All]" allUniqueName="[dim_Date].[MonthNumber].[All]" dimensionUniqueName="[dim_Date]" displayFolder="" count="0" memberValueDatatype="20" unbalanced="0"/>
    <cacheHierarchy uniqueName="[dim_Date].[MonthName]" caption="MonthName" attribute="1" time="1" defaultMemberUniqueName="[dim_Date].[MonthName].[All]" allUniqueName="[dim_Date].[MonthName].[All]" dimensionUniqueName="[dim_Date]" displayFolder="" count="0" memberValueDatatype="130" unbalanced="0"/>
    <cacheHierarchy uniqueName="[dim_Date].[Day]" caption="Day" attribute="1" time="1" defaultMemberUniqueName="[dim_Date].[Day].[All]" allUniqueName="[dim_Date].[Day].[All]" dimensionUniqueName="[dim_Date]" displayFolder="" count="0" memberValueDatatype="20" unbalanced="0"/>
    <cacheHierarchy uniqueName="[dim_Date].[DayName]" caption="DayName" attribute="1" time="1" defaultMemberUniqueName="[dim_Date].[DayName].[All]" allUniqueName="[dim_Date].[DayName].[All]" dimensionUniqueName="[dim_Date]" displayFolder="" count="0" memberValueDatatype="130" unbalanced="0"/>
    <cacheHierarchy uniqueName="[dim_Date].[YearMonth]" caption="YearMonth" attribute="1" time="1" defaultMemberUniqueName="[dim_Date].[YearMonth].[All]" allUniqueName="[dim_Date].[YearMonth].[All]" dimensionUniqueName="[dim_Date]" displayFolder="" count="0" memberValueDatatype="130" unbalanced="0"/>
    <cacheHierarchy uniqueName="[dim_Product].[StockCode]" caption="StockCode" attribute="1" defaultMemberUniqueName="[dim_Product].[StockCode].[All]" allUniqueName="[dim_Product].[StockCode].[All]" dimensionUniqueName="[dim_Product]" displayFolder="" count="0" memberValueDatatype="130" unbalanced="0"/>
    <cacheHierarchy uniqueName="[dim_Product].[Description]" caption="Description" attribute="1" defaultMemberUniqueName="[dim_Product].[Description].[All]" allUniqueName="[dim_Product].[Description].[All]" dimensionUniqueName="[dim_Product]" displayFolder="" count="0" memberValueDatatype="130" unbalanced="0"/>
    <cacheHierarchy uniqueName="[dim_Product].[DescriptionCount]" caption="DescriptionCount" attribute="1" defaultMemberUniqueName="[dim_Product].[DescriptionCount].[All]" allUniqueName="[dim_Product].[DescriptionCount].[All]" dimensionUniqueName="[dim_Product]" displayFolder="" count="0" memberValueDatatype="130" unbalanced="0"/>
    <cacheHierarchy uniqueName="[dim_Product].[RecordType]" caption="RecordType" attribute="1" defaultMemberUniqueName="[dim_Product].[RecordType].[All]" allUniqueName="[dim_Product].[RecordType].[All]" dimensionUniqueName="[dim_Product]" displayFolder="" count="0" memberValueDatatype="130" unbalanced="0"/>
    <cacheHierarchy uniqueName="[fact_Transactions].[Invoice]" caption="Invoice" attribute="1" defaultMemberUniqueName="[fact_Transactions].[Invoice].[All]" allUniqueName="[fact_Transactions].[Invoice].[All]" dimensionUniqueName="[fact_Transactions]" displayFolder="" count="0" memberValueDatatype="130" unbalanced="0"/>
    <cacheHierarchy uniqueName="[fact_Transactions].[StockCode]" caption="StockCode" attribute="1" defaultMemberUniqueName="[fact_Transactions].[StockCode].[All]" allUniqueName="[fact_Transactions].[StockCode].[All]" dimensionUniqueName="[fact_Transactions]" displayFolder="" count="0" memberValueDatatype="130" unbalanced="0"/>
    <cacheHierarchy uniqueName="[fact_Transactions].[Description]" caption="Description" attribute="1" defaultMemberUniqueName="[fact_Transactions].[Description].[All]" allUniqueName="[fact_Transactions].[Description].[All]" dimensionUniqueName="[fact_Transactions]" displayFolder="" count="0" memberValueDatatype="130" unbalanced="0"/>
    <cacheHierarchy uniqueName="[fact_Transactions].[Quantity]" caption="Quantity" attribute="1" defaultMemberUniqueName="[fact_Transactions].[Quantity].[All]" allUniqueName="[fact_Transactions].[Quantity].[All]" dimensionUniqueName="[fact_Transactions]" displayFolder="" count="0" memberValueDatatype="20" unbalanced="0"/>
    <cacheHierarchy uniqueName="[fact_Transactions].[InvoiceDate]" caption="InvoiceDate" attribute="1" time="1" defaultMemberUniqueName="[fact_Transactions].[InvoiceDate].[All]" allUniqueName="[fact_Transactions].[InvoiceDate].[All]" dimensionUniqueName="[fact_Transactions]" displayFolder="" count="0" memberValueDatatype="7" unbalanced="0"/>
    <cacheHierarchy uniqueName="[fact_Transactions].[Price]" caption="Price" attribute="1" defaultMemberUniqueName="[fact_Transactions].[Price].[All]" allUniqueName="[fact_Transactions].[Price].[All]" dimensionUniqueName="[fact_Transactions]" displayFolder="" count="0" memberValueDatatype="5" unbalanced="0"/>
    <cacheHierarchy uniqueName="[fact_Transactions].[Customer ID]" caption="Customer ID" attribute="1" defaultMemberUniqueName="[fact_Transactions].[Customer ID].[All]" allUniqueName="[fact_Transactions].[Customer ID].[All]" dimensionUniqueName="[fact_Transactions]" displayFolder="" count="2" memberValueDatatype="130" unbalanced="0">
      <fieldsUsage count="2">
        <fieldUsage x="-1"/>
        <fieldUsage x="0"/>
      </fieldsUsage>
    </cacheHierarchy>
    <cacheHierarchy uniqueName="[fact_Transactions].[Country]" caption="Country" attribute="1" defaultMemberUniqueName="[fact_Transactions].[Country].[All]" allUniqueName="[fact_Transactions].[Country].[All]" dimensionUniqueName="[fact_Transactions]" displayFolder="" count="0" memberValueDatatype="130" unbalanced="0"/>
    <cacheHierarchy uniqueName="[fact_Transactions].[InvoiceType]" caption="InvoiceType" attribute="1" defaultMemberUniqueName="[fact_Transactions].[InvoiceType].[All]" allUniqueName="[fact_Transactions].[InvoiceType].[All]" dimensionUniqueName="[fact_Transactions]" displayFolder="" count="0" memberValueDatatype="130" unbalanced="0"/>
    <cacheHierarchy uniqueName="[fact_Transactions].[QuantityType]" caption="QuantityType" attribute="1" defaultMemberUniqueName="[fact_Transactions].[QuantityType].[All]" allUniqueName="[fact_Transactions].[QuantityType].[All]" dimensionUniqueName="[fact_Transactions]" displayFolder="" count="0" memberValueDatatype="130" unbalanced="0"/>
    <cacheHierarchy uniqueName="[fact_Transactions].[RecordType]" caption="RecordType" attribute="1" defaultMemberUniqueName="[fact_Transactions].[RecordType].[All]" allUniqueName="[fact_Transactions].[RecordType].[All]" dimensionUniqueName="[fact_Transactions]" displayFolder="" count="0" memberValueDatatype="130" unbalanced="0"/>
    <cacheHierarchy uniqueName="[fact_Transactions].[AnalysisStatus]" caption="AnalysisStatus" attribute="1" defaultMemberUniqueName="[fact_Transactions].[AnalysisStatus].[All]" allUniqueName="[fact_Transactions].[AnalysisStatus].[All]" dimensionUniqueName="[fact_Transactions]" displayFolder="" count="0" memberValueDatatype="130" unbalanced="0"/>
    <cacheHierarchy uniqueName="[fact_Transactions].[Revenue]" caption="Revenue" attribute="1" defaultMemberUniqueName="[fact_Transactions].[Revenue].[All]" allUniqueName="[fact_Transactions].[Revenue].[All]" dimensionUniqueName="[fact_Transactions]" displayFolder="" count="0" memberValueDatatype="5" unbalanced="0"/>
    <cacheHierarchy uniqueName="[fact_Transactions].[Year]" caption="Year" attribute="1" defaultMemberUniqueName="[fact_Transactions].[Year].[All]" allUniqueName="[fact_Transactions].[Year].[All]" dimensionUniqueName="[fact_Transactions]" displayFolder="" count="0" memberValueDatatype="20" unbalanced="0"/>
    <cacheHierarchy uniqueName="[fact_Transactions].[Quarter]" caption="Quarter" attribute="1" defaultMemberUniqueName="[fact_Transactions].[Quarter].[All]" allUniqueName="[fact_Transactions].[Quarter].[All]" dimensionUniqueName="[fact_Transactions]" displayFolder="" count="0" memberValueDatatype="20" unbalanced="0"/>
    <cacheHierarchy uniqueName="[fact_Transactions].[Month]" caption="Month" attribute="1" defaultMemberUniqueName="[fact_Transactions].[Month].[All]" allUniqueName="[fact_Transactions].[Month].[All]" dimensionUniqueName="[fact_Transactions]" displayFolder="" count="0" memberValueDatatype="20" unbalanced="0"/>
    <cacheHierarchy uniqueName="[fact_Transactions].[Month Name]" caption="Month Name" attribute="1" defaultMemberUniqueName="[fact_Transactions].[Month Name].[All]" allUniqueName="[fact_Transactions].[Month Name].[All]" dimensionUniqueName="[fact_Transactions]" displayFolder="" count="0" memberValueDatatype="130" unbalanced="0"/>
    <cacheHierarchy uniqueName="[fact_Transactions].[Day Name]" caption="Day Name" attribute="1" defaultMemberUniqueName="[fact_Transactions].[Day Name].[All]" allUniqueName="[fact_Transactions].[Day Name].[All]" dimensionUniqueName="[fact_Transactions]" displayFolder="" count="0" memberValueDatatype="130" unbalanced="0"/>
    <cacheHierarchy uniqueName="[fact_Transactions].[Hour]" caption="Hour" attribute="1" defaultMemberUniqueName="[fact_Transactions].[Hour].[All]" allUniqueName="[fact_Transactions].[Hour].[All]" dimensionUniqueName="[fact_Transactions]" displayFolder="" count="0" memberValueDatatype="20" unbalanced="0"/>
    <cacheHierarchy uniqueName="[fact_Transactions].[YearMonth]" caption="YearMonth" attribute="1" defaultMemberUniqueName="[fact_Transactions].[YearMonth].[All]" allUniqueName="[fact_Transactions].[YearMonth].[All]" dimensionUniqueName="[fact_Transactions]" displayFolder="" count="0" memberValueDatatype="130" unbalanced="0"/>
    <cacheHierarchy uniqueName="[fact_Transactions].[TransactionDate]" caption="TransactionDate" attribute="1" time="1" defaultMemberUniqueName="[fact_Transactions].[TransactionDate].[All]" allUniqueName="[fact_Transactions].[TransactionDate].[All]" dimensionUniqueName="[fact_Transactions]" displayFolder="" count="0" memberValueDatatype="7" unbalanced="0"/>
    <cacheHierarchy uniqueName="[fact_Transactions].[RevenueType]" caption="RevenueType" attribute="1" defaultMemberUniqueName="[fact_Transactions].[RevenueType].[All]" allUniqueName="[fact_Transactions].[RevenueType].[All]" dimensionUniqueName="[fact_Transactions]" displayFolder="" count="0" memberValueDatatype="130" unbalanced="0"/>
    <cacheHierarchy uniqueName="[Measures].[Sum of Revenue]" caption="Sum of Revenue" measure="1" displayFolder="" measureGroup="fact_Transactions" count="0">
      <extLst>
        <ext xmlns:x15="http://schemas.microsoft.com/office/spreadsheetml/2010/11/main" uri="{B97F6D7D-B522-45F9-BDA1-12C45D357490}">
          <x15:cacheHierarchy aggregatedColumn="26"/>
        </ext>
      </extLst>
    </cacheHierarchy>
    <cacheHierarchy uniqueName="[Measures].[Total Revenue]" caption="Total Revenue" measure="1" displayFolder="" measureGroup="fact_Transactions" count="0"/>
    <cacheHierarchy uniqueName="[Measures].[Core Sales Revenue]" caption="Core Sales Revenue" measure="1" displayFolder="" measureGroup="fact_Transactions" count="0" oneField="1">
      <fieldsUsage count="1">
        <fieldUsage x="1"/>
      </fieldsUsage>
    </cacheHierarchy>
    <cacheHierarchy uniqueName="[Measures].[Non-Core Revenue]" caption="Non-Core Revenue" measure="1" displayFolder="" measureGroup="fact_Transactions" count="0"/>
    <cacheHierarchy uniqueName="[Measures].[Transaction Lines]" caption="Transaction Lines" measure="1" displayFolder="" measureGroup="fact_Transactions" count="0"/>
    <cacheHierarchy uniqueName="[Measures].[Total Orders]" caption="Total Orders" measure="1" displayFolder="" measureGroup="fact_Transactions" count="0"/>
    <cacheHierarchy uniqueName="[Measures].[Core Orders]" caption="Core Orders" measure="1" displayFolder="" measureGroup="fact_Transactions" count="0" oneField="1">
      <fieldsUsage count="1">
        <fieldUsage x="2"/>
      </fieldsUsage>
    </cacheHierarchy>
    <cacheHierarchy uniqueName="[Measures].[Unique Customers]" caption="Unique Customers" measure="1" displayFolder="" measureGroup="fact_Transactions" count="0"/>
    <cacheHierarchy uniqueName="[Measures].[Average Order Value]" caption="Average Order Value" measure="1" displayFolder="" measureGroup="fact_Transactions" count="0"/>
    <cacheHierarchy uniqueName="[Measures].[Revenue per Customer]" caption="Revenue per Customer" measure="1" displayFolder="" measureGroup="fact_Transactions" count="0"/>
    <cacheHierarchy uniqueName="[Measures].[Core Units Sold]" caption="Core Units Sold" measure="1" displayFolder="" measureGroup="fact_Transactions" count="0" oneField="1">
      <fieldsUsage count="1">
        <fieldUsage x="3"/>
      </fieldsUsage>
    </cacheHierarchy>
    <cacheHierarchy uniqueName="[Measures].[Products Sold]" caption="Products Sold" measure="1" displayFolder="" measureGroup="fact_Transactions" count="0"/>
    <cacheHierarchy uniqueName="[Measures].[Cancellation Revenue]" caption="Cancellation Revenue" measure="1" displayFolder="" measureGroup="fact_Transactions" count="0"/>
    <cacheHierarchy uniqueName="[Measures].[Previous Year Core Revenue]" caption="Previous Year Core Revenue" measure="1" displayFolder="" measureGroup="fact_Transactions" count="0"/>
    <cacheHierarchy uniqueName="[Measures].[YoY Revenue Change]" caption="YoY Revenue Change" measure="1" displayFolder="" measureGroup="fact_Transactions" count="0"/>
    <cacheHierarchy uniqueName="[Measures].[YoY Revenue Growth %]" caption="YoY Revenue Growth %" measure="1" displayFolder="" measureGroup="fact_Transactions" count="0"/>
    <cacheHierarchy uniqueName="[Measures].[Core Revenue Share %]" caption="Core Revenue Share %" measure="1" displayFolder="" measureGroup="fact_Transactions" count="0"/>
    <cacheHierarchy uniqueName="[Measures].[Previous Month Core Revenue]" caption="Previous Month Core Revenue" measure="1" displayFolder="" measureGroup="fact_Transactions" count="0"/>
    <cacheHierarchy uniqueName="[Measures].[MoM Revenue Growth %]" caption="MoM Revenue Growth %" measure="1" displayFolder="" measureGroup="fact_Transactions" count="0"/>
    <cacheHierarchy uniqueName="[Measures].[__XL_Count fact_Transactions]" caption="__XL_Count fact_Transactions" measure="1" displayFolder="" measureGroup="fact_Transactions"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dim_Customer]" caption="__XL_Count dim_Customer" measure="1" displayFolder="" measureGroup="dim_Customer" count="0" hidden="1"/>
    <cacheHierarchy uniqueName="[Measures].[__XL_Count dim_Country]" caption="__XL_Count dim_Country" measure="1" displayFolder="" measureGroup="dim_Country" count="0" hidden="1"/>
    <cacheHierarchy uniqueName="[Measures].[__No measures defined]" caption="__No measures defined" measure="1" displayFolder="" count="0" hidden="1"/>
  </cacheHierarchies>
  <kpis count="0"/>
  <dimensions count="6">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Transactions" uniqueName="[fact_Transactions]" caption="fact_Transactions"/>
    <dimension measure="1" name="Measures" uniqueName="[Measures]" caption="Measures"/>
  </dimensions>
  <measureGroups count="5">
    <measureGroup name="dim_Country" caption="dim_Country"/>
    <measureGroup name="dim_Customer" caption="dim_Customer"/>
    <measureGroup name="dim_Date" caption="dim_Date"/>
    <measureGroup name="dim_Product" caption="dim_Product"/>
    <measureGroup name="fact_Transactions" caption="fact_Transactions"/>
  </measureGroups>
  <maps count="9">
    <map measureGroup="0" dimension="0"/>
    <map measureGroup="1" dimension="1"/>
    <map measureGroup="2"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ara Pires" refreshedDate="46271.877479513889" createdVersion="8" refreshedVersion="8" minRefreshableVersion="3" recordCount="0" supportSubquery="1" supportAdvancedDrill="1" xr:uid="{D8137E49-9570-4EFE-88CF-233FBC991878}">
  <cacheSource type="external" connectionId="12"/>
  <cacheFields count="5">
    <cacheField name="[fact_Transactions].[RecordType].[RecordType]" caption="RecordType" numFmtId="0" hierarchy="24" level="1">
      <sharedItems containsSemiMixedTypes="0" containsNonDate="0" containsString="0"/>
    </cacheField>
    <cacheField name="[fact_Transactions].[Description].[Description]" caption="Description" numFmtId="0" hierarchy="16" level="1">
      <sharedItems containsBlank="1" count="10">
        <m/>
        <s v="60 TEATIME FAIRY CAKE CASES"/>
        <s v="ASSORTED COLOUR BIRD ORNAMENT"/>
        <s v="BROCADE RING PURSE"/>
        <s v="JUMBO BAG RED RETROSPOT"/>
        <s v="MEDIUM CERAMIC TOP STORAGE JAR"/>
        <s v="PACK OF 60 PINK PAISLEY CAKE CASES"/>
        <s v="PAPER CRAFT , LITTLE BIRDIE"/>
        <s v="WHITE HANGING HEART T-LIGHT HOLDER"/>
        <s v="WORLD WAR 2 GLIDERS ASSTD DESIGNS"/>
      </sharedItems>
    </cacheField>
    <cacheField name="[Measures].[Core Units Sold]" caption="Core Units Sold" numFmtId="0" hierarchy="46" level="32767"/>
    <cacheField name="[Measures].[Core Sales Revenue]" caption="Core Sales Revenue" numFmtId="0" hierarchy="38" level="32767"/>
    <cacheField name="[Measures].[Core Orders]" caption="Core Orders" numFmtId="0" hierarchy="42" level="32767"/>
  </cacheFields>
  <cacheHierarchies count="61">
    <cacheHierarchy uniqueName="[dim_Country].[Country]" caption="Country" attribute="1" defaultMemberUniqueName="[dim_Country].[Country].[All]" allUniqueName="[dim_Country].[Country].[All]" dimensionUniqueName="[dim_Country]" displayFolder="" count="0" memberValueDatatype="130" unbalanced="0"/>
    <cacheHierarchy uniqueName="[dim_Customer].[Customer ID]" caption="Customer ID" attribute="1" defaultMemberUniqueName="[dim_Customer].[Customer ID].[All]" allUniqueName="[dim_Customer].[Customer ID].[All]" dimensionUniqueName="[dim_Customer]" displayFolder="" count="0" memberValueDatatype="130" unbalanced="0"/>
    <cacheHierarchy uniqueName="[dim_Date].[Date]" caption="Date" attribute="1" time="1" keyAttribute="1" defaultMemberUniqueName="[dim_Date].[Date].[All]" allUniqueName="[dim_Date].[Date].[All]" dimensionUniqueName="[dim_Date]" displayFolder="" count="0" memberValueDatatype="7" unbalanced="0"/>
    <cacheHierarchy uniqueName="[dim_Date].[Year]" caption="Year" attribute="1" time="1" defaultMemberUniqueName="[dim_Date].[Year].[All]" allUniqueName="[dim_Date].[Year].[All]" dimensionUniqueName="[dim_Date]" displayFolder="" count="0" memberValueDatatype="20" unbalanced="0"/>
    <cacheHierarchy uniqueName="[dim_Date].[Quarter]" caption="Quarter" attribute="1" time="1" defaultMemberUniqueName="[dim_Date].[Quarter].[All]" allUniqueName="[dim_Date].[Quarter].[All]" dimensionUniqueName="[dim_Date]" displayFolder="" count="0" memberValueDatatype="20" unbalanced="0"/>
    <cacheHierarchy uniqueName="[dim_Date].[MonthNumber]" caption="MonthNumber" attribute="1" time="1" defaultMemberUniqueName="[dim_Date].[MonthNumber].[All]" allUniqueName="[dim_Date].[MonthNumber].[All]" dimensionUniqueName="[dim_Date]" displayFolder="" count="0" memberValueDatatype="20" unbalanced="0"/>
    <cacheHierarchy uniqueName="[dim_Date].[MonthName]" caption="MonthName" attribute="1" time="1" defaultMemberUniqueName="[dim_Date].[MonthName].[All]" allUniqueName="[dim_Date].[MonthName].[All]" dimensionUniqueName="[dim_Date]" displayFolder="" count="0" memberValueDatatype="130" unbalanced="0"/>
    <cacheHierarchy uniqueName="[dim_Date].[Day]" caption="Day" attribute="1" time="1" defaultMemberUniqueName="[dim_Date].[Day].[All]" allUniqueName="[dim_Date].[Day].[All]" dimensionUniqueName="[dim_Date]" displayFolder="" count="0" memberValueDatatype="20" unbalanced="0"/>
    <cacheHierarchy uniqueName="[dim_Date].[DayName]" caption="DayName" attribute="1" time="1" defaultMemberUniqueName="[dim_Date].[DayName].[All]" allUniqueName="[dim_Date].[DayName].[All]" dimensionUniqueName="[dim_Date]" displayFolder="" count="0" memberValueDatatype="130" unbalanced="0"/>
    <cacheHierarchy uniqueName="[dim_Date].[YearMonth]" caption="YearMonth" attribute="1" time="1" defaultMemberUniqueName="[dim_Date].[YearMonth].[All]" allUniqueName="[dim_Date].[YearMonth].[All]" dimensionUniqueName="[dim_Date]" displayFolder="" count="0" memberValueDatatype="130" unbalanced="0"/>
    <cacheHierarchy uniqueName="[dim_Product].[StockCode]" caption="StockCode" attribute="1" defaultMemberUniqueName="[dim_Product].[StockCode].[All]" allUniqueName="[dim_Product].[StockCode].[All]" dimensionUniqueName="[dim_Product]" displayFolder="" count="0" memberValueDatatype="130" unbalanced="0"/>
    <cacheHierarchy uniqueName="[dim_Product].[Description]" caption="Description" attribute="1" defaultMemberUniqueName="[dim_Product].[Description].[All]" allUniqueName="[dim_Product].[Description].[All]" dimensionUniqueName="[dim_Product]" displayFolder="" count="0" memberValueDatatype="130" unbalanced="0"/>
    <cacheHierarchy uniqueName="[dim_Product].[DescriptionCount]" caption="DescriptionCount" attribute="1" defaultMemberUniqueName="[dim_Product].[DescriptionCount].[All]" allUniqueName="[dim_Product].[DescriptionCount].[All]" dimensionUniqueName="[dim_Product]" displayFolder="" count="0" memberValueDatatype="130" unbalanced="0"/>
    <cacheHierarchy uniqueName="[dim_Product].[RecordType]" caption="RecordType" attribute="1" defaultMemberUniqueName="[dim_Product].[RecordType].[All]" allUniqueName="[dim_Product].[RecordType].[All]" dimensionUniqueName="[dim_Product]" displayFolder="" count="0" memberValueDatatype="130" unbalanced="0"/>
    <cacheHierarchy uniqueName="[fact_Transactions].[Invoice]" caption="Invoice" attribute="1" defaultMemberUniqueName="[fact_Transactions].[Invoice].[All]" allUniqueName="[fact_Transactions].[Invoice].[All]" dimensionUniqueName="[fact_Transactions]" displayFolder="" count="0" memberValueDatatype="130" unbalanced="0"/>
    <cacheHierarchy uniqueName="[fact_Transactions].[StockCode]" caption="StockCode" attribute="1" defaultMemberUniqueName="[fact_Transactions].[StockCode].[All]" allUniqueName="[fact_Transactions].[StockCode].[All]" dimensionUniqueName="[fact_Transactions]" displayFolder="" count="0" memberValueDatatype="130" unbalanced="0"/>
    <cacheHierarchy uniqueName="[fact_Transactions].[Description]" caption="Description" attribute="1" defaultMemberUniqueName="[fact_Transactions].[Description].[All]" allUniqueName="[fact_Transactions].[Description].[All]" dimensionUniqueName="[fact_Transactions]" displayFolder="" count="2" memberValueDatatype="130" unbalanced="0">
      <fieldsUsage count="2">
        <fieldUsage x="-1"/>
        <fieldUsage x="1"/>
      </fieldsUsage>
    </cacheHierarchy>
    <cacheHierarchy uniqueName="[fact_Transactions].[Quantity]" caption="Quantity" attribute="1" defaultMemberUniqueName="[fact_Transactions].[Quantity].[All]" allUniqueName="[fact_Transactions].[Quantity].[All]" dimensionUniqueName="[fact_Transactions]" displayFolder="" count="0" memberValueDatatype="20" unbalanced="0"/>
    <cacheHierarchy uniqueName="[fact_Transactions].[InvoiceDate]" caption="InvoiceDate" attribute="1" time="1" defaultMemberUniqueName="[fact_Transactions].[InvoiceDate].[All]" allUniqueName="[fact_Transactions].[InvoiceDate].[All]" dimensionUniqueName="[fact_Transactions]" displayFolder="" count="0" memberValueDatatype="7" unbalanced="0"/>
    <cacheHierarchy uniqueName="[fact_Transactions].[Price]" caption="Price" attribute="1" defaultMemberUniqueName="[fact_Transactions].[Price].[All]" allUniqueName="[fact_Transactions].[Price].[All]" dimensionUniqueName="[fact_Transactions]" displayFolder="" count="0" memberValueDatatype="5" unbalanced="0"/>
    <cacheHierarchy uniqueName="[fact_Transactions].[Customer ID]" caption="Customer ID" attribute="1" defaultMemberUniqueName="[fact_Transactions].[Customer ID].[All]" allUniqueName="[fact_Transactions].[Customer ID].[All]" dimensionUniqueName="[fact_Transactions]" displayFolder="" count="0" memberValueDatatype="130" unbalanced="0"/>
    <cacheHierarchy uniqueName="[fact_Transactions].[Country]" caption="Country" attribute="1" defaultMemberUniqueName="[fact_Transactions].[Country].[All]" allUniqueName="[fact_Transactions].[Country].[All]" dimensionUniqueName="[fact_Transactions]" displayFolder="" count="0" memberValueDatatype="130" unbalanced="0"/>
    <cacheHierarchy uniqueName="[fact_Transactions].[InvoiceType]" caption="InvoiceType" attribute="1" defaultMemberUniqueName="[fact_Transactions].[InvoiceType].[All]" allUniqueName="[fact_Transactions].[InvoiceType].[All]" dimensionUniqueName="[fact_Transactions]" displayFolder="" count="0" memberValueDatatype="130" unbalanced="0"/>
    <cacheHierarchy uniqueName="[fact_Transactions].[QuantityType]" caption="QuantityType" attribute="1" defaultMemberUniqueName="[fact_Transactions].[QuantityType].[All]" allUniqueName="[fact_Transactions].[QuantityType].[All]" dimensionUniqueName="[fact_Transactions]" displayFolder="" count="0" memberValueDatatype="130" unbalanced="0"/>
    <cacheHierarchy uniqueName="[fact_Transactions].[RecordType]" caption="RecordType" attribute="1" defaultMemberUniqueName="[fact_Transactions].[RecordType].[All]" allUniqueName="[fact_Transactions].[RecordType].[All]" dimensionUniqueName="[fact_Transactions]" displayFolder="" count="2" memberValueDatatype="130" unbalanced="0">
      <fieldsUsage count="2">
        <fieldUsage x="-1"/>
        <fieldUsage x="0"/>
      </fieldsUsage>
    </cacheHierarchy>
    <cacheHierarchy uniqueName="[fact_Transactions].[AnalysisStatus]" caption="AnalysisStatus" attribute="1" defaultMemberUniqueName="[fact_Transactions].[AnalysisStatus].[All]" allUniqueName="[fact_Transactions].[AnalysisStatus].[All]" dimensionUniqueName="[fact_Transactions]" displayFolder="" count="0" memberValueDatatype="130" unbalanced="0"/>
    <cacheHierarchy uniqueName="[fact_Transactions].[Revenue]" caption="Revenue" attribute="1" defaultMemberUniqueName="[fact_Transactions].[Revenue].[All]" allUniqueName="[fact_Transactions].[Revenue].[All]" dimensionUniqueName="[fact_Transactions]" displayFolder="" count="0" memberValueDatatype="5" unbalanced="0"/>
    <cacheHierarchy uniqueName="[fact_Transactions].[Year]" caption="Year" attribute="1" defaultMemberUniqueName="[fact_Transactions].[Year].[All]" allUniqueName="[fact_Transactions].[Year].[All]" dimensionUniqueName="[fact_Transactions]" displayFolder="" count="0" memberValueDatatype="20" unbalanced="0"/>
    <cacheHierarchy uniqueName="[fact_Transactions].[Quarter]" caption="Quarter" attribute="1" defaultMemberUniqueName="[fact_Transactions].[Quarter].[All]" allUniqueName="[fact_Transactions].[Quarter].[All]" dimensionUniqueName="[fact_Transactions]" displayFolder="" count="0" memberValueDatatype="20" unbalanced="0"/>
    <cacheHierarchy uniqueName="[fact_Transactions].[Month]" caption="Month" attribute="1" defaultMemberUniqueName="[fact_Transactions].[Month].[All]" allUniqueName="[fact_Transactions].[Month].[All]" dimensionUniqueName="[fact_Transactions]" displayFolder="" count="0" memberValueDatatype="20" unbalanced="0"/>
    <cacheHierarchy uniqueName="[fact_Transactions].[Month Name]" caption="Month Name" attribute="1" defaultMemberUniqueName="[fact_Transactions].[Month Name].[All]" allUniqueName="[fact_Transactions].[Month Name].[All]" dimensionUniqueName="[fact_Transactions]" displayFolder="" count="0" memberValueDatatype="130" unbalanced="0"/>
    <cacheHierarchy uniqueName="[fact_Transactions].[Day Name]" caption="Day Name" attribute="1" defaultMemberUniqueName="[fact_Transactions].[Day Name].[All]" allUniqueName="[fact_Transactions].[Day Name].[All]" dimensionUniqueName="[fact_Transactions]" displayFolder="" count="0" memberValueDatatype="130" unbalanced="0"/>
    <cacheHierarchy uniqueName="[fact_Transactions].[Hour]" caption="Hour" attribute="1" defaultMemberUniqueName="[fact_Transactions].[Hour].[All]" allUniqueName="[fact_Transactions].[Hour].[All]" dimensionUniqueName="[fact_Transactions]" displayFolder="" count="0" memberValueDatatype="20" unbalanced="0"/>
    <cacheHierarchy uniqueName="[fact_Transactions].[YearMonth]" caption="YearMonth" attribute="1" defaultMemberUniqueName="[fact_Transactions].[YearMonth].[All]" allUniqueName="[fact_Transactions].[YearMonth].[All]" dimensionUniqueName="[fact_Transactions]" displayFolder="" count="0" memberValueDatatype="130" unbalanced="0"/>
    <cacheHierarchy uniqueName="[fact_Transactions].[TransactionDate]" caption="TransactionDate" attribute="1" time="1" defaultMemberUniqueName="[fact_Transactions].[TransactionDate].[All]" allUniqueName="[fact_Transactions].[TransactionDate].[All]" dimensionUniqueName="[fact_Transactions]" displayFolder="" count="0" memberValueDatatype="7" unbalanced="0"/>
    <cacheHierarchy uniqueName="[fact_Transactions].[RevenueType]" caption="RevenueType" attribute="1" defaultMemberUniqueName="[fact_Transactions].[RevenueType].[All]" allUniqueName="[fact_Transactions].[RevenueType].[All]" dimensionUniqueName="[fact_Transactions]" displayFolder="" count="0" memberValueDatatype="130" unbalanced="0"/>
    <cacheHierarchy uniqueName="[Measures].[Sum of Revenue]" caption="Sum of Revenue" measure="1" displayFolder="" measureGroup="fact_Transactions" count="0">
      <extLst>
        <ext xmlns:x15="http://schemas.microsoft.com/office/spreadsheetml/2010/11/main" uri="{B97F6D7D-B522-45F9-BDA1-12C45D357490}">
          <x15:cacheHierarchy aggregatedColumn="26"/>
        </ext>
      </extLst>
    </cacheHierarchy>
    <cacheHierarchy uniqueName="[Measures].[Total Revenue]" caption="Total Revenue" measure="1" displayFolder="" measureGroup="fact_Transactions" count="0"/>
    <cacheHierarchy uniqueName="[Measures].[Core Sales Revenue]" caption="Core Sales Revenue" measure="1" displayFolder="" measureGroup="fact_Transactions" count="0" oneField="1">
      <fieldsUsage count="1">
        <fieldUsage x="3"/>
      </fieldsUsage>
    </cacheHierarchy>
    <cacheHierarchy uniqueName="[Measures].[Non-Core Revenue]" caption="Non-Core Revenue" measure="1" displayFolder="" measureGroup="fact_Transactions" count="0"/>
    <cacheHierarchy uniqueName="[Measures].[Transaction Lines]" caption="Transaction Lines" measure="1" displayFolder="" measureGroup="fact_Transactions" count="0"/>
    <cacheHierarchy uniqueName="[Measures].[Total Orders]" caption="Total Orders" measure="1" displayFolder="" measureGroup="fact_Transactions" count="0"/>
    <cacheHierarchy uniqueName="[Measures].[Core Orders]" caption="Core Orders" measure="1" displayFolder="" measureGroup="fact_Transactions" count="0" oneField="1">
      <fieldsUsage count="1">
        <fieldUsage x="4"/>
      </fieldsUsage>
    </cacheHierarchy>
    <cacheHierarchy uniqueName="[Measures].[Unique Customers]" caption="Unique Customers" measure="1" displayFolder="" measureGroup="fact_Transactions" count="0"/>
    <cacheHierarchy uniqueName="[Measures].[Average Order Value]" caption="Average Order Value" measure="1" displayFolder="" measureGroup="fact_Transactions" count="0"/>
    <cacheHierarchy uniqueName="[Measures].[Revenue per Customer]" caption="Revenue per Customer" measure="1" displayFolder="" measureGroup="fact_Transactions" count="0"/>
    <cacheHierarchy uniqueName="[Measures].[Core Units Sold]" caption="Core Units Sold" measure="1" displayFolder="" measureGroup="fact_Transactions" count="0" oneField="1">
      <fieldsUsage count="1">
        <fieldUsage x="2"/>
      </fieldsUsage>
    </cacheHierarchy>
    <cacheHierarchy uniqueName="[Measures].[Products Sold]" caption="Products Sold" measure="1" displayFolder="" measureGroup="fact_Transactions" count="0"/>
    <cacheHierarchy uniqueName="[Measures].[Cancellation Revenue]" caption="Cancellation Revenue" measure="1" displayFolder="" measureGroup="fact_Transactions" count="0"/>
    <cacheHierarchy uniqueName="[Measures].[Previous Year Core Revenue]" caption="Previous Year Core Revenue" measure="1" displayFolder="" measureGroup="fact_Transactions" count="0"/>
    <cacheHierarchy uniqueName="[Measures].[YoY Revenue Change]" caption="YoY Revenue Change" measure="1" displayFolder="" measureGroup="fact_Transactions" count="0"/>
    <cacheHierarchy uniqueName="[Measures].[YoY Revenue Growth %]" caption="YoY Revenue Growth %" measure="1" displayFolder="" measureGroup="fact_Transactions" count="0"/>
    <cacheHierarchy uniqueName="[Measures].[Core Revenue Share %]" caption="Core Revenue Share %" measure="1" displayFolder="" measureGroup="fact_Transactions" count="0"/>
    <cacheHierarchy uniqueName="[Measures].[Previous Month Core Revenue]" caption="Previous Month Core Revenue" measure="1" displayFolder="" measureGroup="fact_Transactions" count="0"/>
    <cacheHierarchy uniqueName="[Measures].[MoM Revenue Growth %]" caption="MoM Revenue Growth %" measure="1" displayFolder="" measureGroup="fact_Transactions" count="0"/>
    <cacheHierarchy uniqueName="[Measures].[__XL_Count fact_Transactions]" caption="__XL_Count fact_Transactions" measure="1" displayFolder="" measureGroup="fact_Transactions"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dim_Customer]" caption="__XL_Count dim_Customer" measure="1" displayFolder="" measureGroup="dim_Customer" count="0" hidden="1"/>
    <cacheHierarchy uniqueName="[Measures].[__XL_Count dim_Country]" caption="__XL_Count dim_Country" measure="1" displayFolder="" measureGroup="dim_Country" count="0" hidden="1"/>
    <cacheHierarchy uniqueName="[Measures].[__No measures defined]" caption="__No measures defined" measure="1" displayFolder="" count="0" hidden="1"/>
  </cacheHierarchies>
  <kpis count="0"/>
  <dimensions count="6">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Transactions" uniqueName="[fact_Transactions]" caption="fact_Transactions"/>
    <dimension measure="1" name="Measures" uniqueName="[Measures]" caption="Measures"/>
  </dimensions>
  <measureGroups count="5">
    <measureGroup name="dim_Country" caption="dim_Country"/>
    <measureGroup name="dim_Customer" caption="dim_Customer"/>
    <measureGroup name="dim_Date" caption="dim_Date"/>
    <measureGroup name="dim_Product" caption="dim_Product"/>
    <measureGroup name="fact_Transactions" caption="fact_Transactions"/>
  </measureGroups>
  <maps count="9">
    <map measureGroup="0" dimension="0"/>
    <map measureGroup="1" dimension="1"/>
    <map measureGroup="2"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ara Pires" refreshedDate="46271.877485300924" createdVersion="8" refreshedVersion="8" minRefreshableVersion="3" recordCount="0" supportSubquery="1" supportAdvancedDrill="1" xr:uid="{1876D208-BB60-4C39-BF47-A059D1A5541E}">
  <cacheSource type="external" connectionId="12"/>
  <cacheFields count="3">
    <cacheField name="[fact_Transactions].[RecordType].[RecordType]" caption="RecordType" numFmtId="0" hierarchy="24" level="1">
      <sharedItems containsSemiMixedTypes="0" containsNonDate="0" containsString="0"/>
    </cacheField>
    <cacheField name="[fact_Transactions].[Description].[Description]" caption="Description" numFmtId="0" hierarchy="16" level="1">
      <sharedItems count="10">
        <s v="ASSORTED COLOUR BIRD ORNAMENT"/>
        <s v="CHILLI LIGHTS"/>
        <s v="JUMBO BAG RED RETROSPOT"/>
        <s v="MEDIUM CERAMIC TOP STORAGE JAR"/>
        <s v="PAPER CHAIN KIT 50'S CHRISTMAS"/>
        <s v="PAPER CRAFT , LITTLE BIRDIE"/>
        <s v="PARTY BUNTING"/>
        <s v="REGENCY CAKESTAND 3 TIER"/>
        <s v="ROTATING SILVER ANGELS T-LIGHT HLDR"/>
        <s v="WHITE HANGING HEART T-LIGHT HOLDER"/>
      </sharedItems>
    </cacheField>
    <cacheField name="[Measures].[Core Sales Revenue]" caption="Core Sales Revenue" numFmtId="0" hierarchy="38" level="32767"/>
  </cacheFields>
  <cacheHierarchies count="61">
    <cacheHierarchy uniqueName="[dim_Country].[Country]" caption="Country" attribute="1" defaultMemberUniqueName="[dim_Country].[Country].[All]" allUniqueName="[dim_Country].[Country].[All]" dimensionUniqueName="[dim_Country]" displayFolder="" count="0" memberValueDatatype="130" unbalanced="0"/>
    <cacheHierarchy uniqueName="[dim_Customer].[Customer ID]" caption="Customer ID" attribute="1" defaultMemberUniqueName="[dim_Customer].[Customer ID].[All]" allUniqueName="[dim_Customer].[Customer ID].[All]" dimensionUniqueName="[dim_Customer]" displayFolder="" count="0" memberValueDatatype="130" unbalanced="0"/>
    <cacheHierarchy uniqueName="[dim_Date].[Date]" caption="Date" attribute="1" time="1" keyAttribute="1" defaultMemberUniqueName="[dim_Date].[Date].[All]" allUniqueName="[dim_Date].[Date].[All]" dimensionUniqueName="[dim_Date]" displayFolder="" count="0" memberValueDatatype="7" unbalanced="0"/>
    <cacheHierarchy uniqueName="[dim_Date].[Year]" caption="Year" attribute="1" time="1" defaultMemberUniqueName="[dim_Date].[Year].[All]" allUniqueName="[dim_Date].[Year].[All]" dimensionUniqueName="[dim_Date]" displayFolder="" count="0" memberValueDatatype="20" unbalanced="0"/>
    <cacheHierarchy uniqueName="[dim_Date].[Quarter]" caption="Quarter" attribute="1" time="1" defaultMemberUniqueName="[dim_Date].[Quarter].[All]" allUniqueName="[dim_Date].[Quarter].[All]" dimensionUniqueName="[dim_Date]" displayFolder="" count="0" memberValueDatatype="20" unbalanced="0"/>
    <cacheHierarchy uniqueName="[dim_Date].[MonthNumber]" caption="MonthNumber" attribute="1" time="1" defaultMemberUniqueName="[dim_Date].[MonthNumber].[All]" allUniqueName="[dim_Date].[MonthNumber].[All]" dimensionUniqueName="[dim_Date]" displayFolder="" count="0" memberValueDatatype="20" unbalanced="0"/>
    <cacheHierarchy uniqueName="[dim_Date].[MonthName]" caption="MonthName" attribute="1" time="1" defaultMemberUniqueName="[dim_Date].[MonthName].[All]" allUniqueName="[dim_Date].[MonthName].[All]" dimensionUniqueName="[dim_Date]" displayFolder="" count="0" memberValueDatatype="130" unbalanced="0"/>
    <cacheHierarchy uniqueName="[dim_Date].[Day]" caption="Day" attribute="1" time="1" defaultMemberUniqueName="[dim_Date].[Day].[All]" allUniqueName="[dim_Date].[Day].[All]" dimensionUniqueName="[dim_Date]" displayFolder="" count="0" memberValueDatatype="20" unbalanced="0"/>
    <cacheHierarchy uniqueName="[dim_Date].[DayName]" caption="DayName" attribute="1" time="1" defaultMemberUniqueName="[dim_Date].[DayName].[All]" allUniqueName="[dim_Date].[DayName].[All]" dimensionUniqueName="[dim_Date]" displayFolder="" count="0" memberValueDatatype="130" unbalanced="0"/>
    <cacheHierarchy uniqueName="[dim_Date].[YearMonth]" caption="YearMonth" attribute="1" time="1" defaultMemberUniqueName="[dim_Date].[YearMonth].[All]" allUniqueName="[dim_Date].[YearMonth].[All]" dimensionUniqueName="[dim_Date]" displayFolder="" count="0" memberValueDatatype="130" unbalanced="0"/>
    <cacheHierarchy uniqueName="[dim_Product].[StockCode]" caption="StockCode" attribute="1" defaultMemberUniqueName="[dim_Product].[StockCode].[All]" allUniqueName="[dim_Product].[StockCode].[All]" dimensionUniqueName="[dim_Product]" displayFolder="" count="0" memberValueDatatype="130" unbalanced="0"/>
    <cacheHierarchy uniqueName="[dim_Product].[Description]" caption="Description" attribute="1" defaultMemberUniqueName="[dim_Product].[Description].[All]" allUniqueName="[dim_Product].[Description].[All]" dimensionUniqueName="[dim_Product]" displayFolder="" count="0" memberValueDatatype="130" unbalanced="0"/>
    <cacheHierarchy uniqueName="[dim_Product].[DescriptionCount]" caption="DescriptionCount" attribute="1" defaultMemberUniqueName="[dim_Product].[DescriptionCount].[All]" allUniqueName="[dim_Product].[DescriptionCount].[All]" dimensionUniqueName="[dim_Product]" displayFolder="" count="0" memberValueDatatype="130" unbalanced="0"/>
    <cacheHierarchy uniqueName="[dim_Product].[RecordType]" caption="RecordType" attribute="1" defaultMemberUniqueName="[dim_Product].[RecordType].[All]" allUniqueName="[dim_Product].[RecordType].[All]" dimensionUniqueName="[dim_Product]" displayFolder="" count="0" memberValueDatatype="130" unbalanced="0"/>
    <cacheHierarchy uniqueName="[fact_Transactions].[Invoice]" caption="Invoice" attribute="1" defaultMemberUniqueName="[fact_Transactions].[Invoice].[All]" allUniqueName="[fact_Transactions].[Invoice].[All]" dimensionUniqueName="[fact_Transactions]" displayFolder="" count="0" memberValueDatatype="130" unbalanced="0"/>
    <cacheHierarchy uniqueName="[fact_Transactions].[StockCode]" caption="StockCode" attribute="1" defaultMemberUniqueName="[fact_Transactions].[StockCode].[All]" allUniqueName="[fact_Transactions].[StockCode].[All]" dimensionUniqueName="[fact_Transactions]" displayFolder="" count="0" memberValueDatatype="130" unbalanced="0"/>
    <cacheHierarchy uniqueName="[fact_Transactions].[Description]" caption="Description" attribute="1" defaultMemberUniqueName="[fact_Transactions].[Description].[All]" allUniqueName="[fact_Transactions].[Description].[All]" dimensionUniqueName="[fact_Transactions]" displayFolder="" count="2" memberValueDatatype="130" unbalanced="0">
      <fieldsUsage count="2">
        <fieldUsage x="-1"/>
        <fieldUsage x="1"/>
      </fieldsUsage>
    </cacheHierarchy>
    <cacheHierarchy uniqueName="[fact_Transactions].[Quantity]" caption="Quantity" attribute="1" defaultMemberUniqueName="[fact_Transactions].[Quantity].[All]" allUniqueName="[fact_Transactions].[Quantity].[All]" dimensionUniqueName="[fact_Transactions]" displayFolder="" count="0" memberValueDatatype="20" unbalanced="0"/>
    <cacheHierarchy uniqueName="[fact_Transactions].[InvoiceDate]" caption="InvoiceDate" attribute="1" time="1" defaultMemberUniqueName="[fact_Transactions].[InvoiceDate].[All]" allUniqueName="[fact_Transactions].[InvoiceDate].[All]" dimensionUniqueName="[fact_Transactions]" displayFolder="" count="0" memberValueDatatype="7" unbalanced="0"/>
    <cacheHierarchy uniqueName="[fact_Transactions].[Price]" caption="Price" attribute="1" defaultMemberUniqueName="[fact_Transactions].[Price].[All]" allUniqueName="[fact_Transactions].[Price].[All]" dimensionUniqueName="[fact_Transactions]" displayFolder="" count="0" memberValueDatatype="5" unbalanced="0"/>
    <cacheHierarchy uniqueName="[fact_Transactions].[Customer ID]" caption="Customer ID" attribute="1" defaultMemberUniqueName="[fact_Transactions].[Customer ID].[All]" allUniqueName="[fact_Transactions].[Customer ID].[All]" dimensionUniqueName="[fact_Transactions]" displayFolder="" count="0" memberValueDatatype="130" unbalanced="0"/>
    <cacheHierarchy uniqueName="[fact_Transactions].[Country]" caption="Country" attribute="1" defaultMemberUniqueName="[fact_Transactions].[Country].[All]" allUniqueName="[fact_Transactions].[Country].[All]" dimensionUniqueName="[fact_Transactions]" displayFolder="" count="0" memberValueDatatype="130" unbalanced="0"/>
    <cacheHierarchy uniqueName="[fact_Transactions].[InvoiceType]" caption="InvoiceType" attribute="1" defaultMemberUniqueName="[fact_Transactions].[InvoiceType].[All]" allUniqueName="[fact_Transactions].[InvoiceType].[All]" dimensionUniqueName="[fact_Transactions]" displayFolder="" count="0" memberValueDatatype="130" unbalanced="0"/>
    <cacheHierarchy uniqueName="[fact_Transactions].[QuantityType]" caption="QuantityType" attribute="1" defaultMemberUniqueName="[fact_Transactions].[QuantityType].[All]" allUniqueName="[fact_Transactions].[QuantityType].[All]" dimensionUniqueName="[fact_Transactions]" displayFolder="" count="0" memberValueDatatype="130" unbalanced="0"/>
    <cacheHierarchy uniqueName="[fact_Transactions].[RecordType]" caption="RecordType" attribute="1" defaultMemberUniqueName="[fact_Transactions].[RecordType].[All]" allUniqueName="[fact_Transactions].[RecordType].[All]" dimensionUniqueName="[fact_Transactions]" displayFolder="" count="2" memberValueDatatype="130" unbalanced="0">
      <fieldsUsage count="2">
        <fieldUsage x="-1"/>
        <fieldUsage x="0"/>
      </fieldsUsage>
    </cacheHierarchy>
    <cacheHierarchy uniqueName="[fact_Transactions].[AnalysisStatus]" caption="AnalysisStatus" attribute="1" defaultMemberUniqueName="[fact_Transactions].[AnalysisStatus].[All]" allUniqueName="[fact_Transactions].[AnalysisStatus].[All]" dimensionUniqueName="[fact_Transactions]" displayFolder="" count="0" memberValueDatatype="130" unbalanced="0"/>
    <cacheHierarchy uniqueName="[fact_Transactions].[Revenue]" caption="Revenue" attribute="1" defaultMemberUniqueName="[fact_Transactions].[Revenue].[All]" allUniqueName="[fact_Transactions].[Revenue].[All]" dimensionUniqueName="[fact_Transactions]" displayFolder="" count="0" memberValueDatatype="5" unbalanced="0"/>
    <cacheHierarchy uniqueName="[fact_Transactions].[Year]" caption="Year" attribute="1" defaultMemberUniqueName="[fact_Transactions].[Year].[All]" allUniqueName="[fact_Transactions].[Year].[All]" dimensionUniqueName="[fact_Transactions]" displayFolder="" count="0" memberValueDatatype="20" unbalanced="0"/>
    <cacheHierarchy uniqueName="[fact_Transactions].[Quarter]" caption="Quarter" attribute="1" defaultMemberUniqueName="[fact_Transactions].[Quarter].[All]" allUniqueName="[fact_Transactions].[Quarter].[All]" dimensionUniqueName="[fact_Transactions]" displayFolder="" count="0" memberValueDatatype="20" unbalanced="0"/>
    <cacheHierarchy uniqueName="[fact_Transactions].[Month]" caption="Month" attribute="1" defaultMemberUniqueName="[fact_Transactions].[Month].[All]" allUniqueName="[fact_Transactions].[Month].[All]" dimensionUniqueName="[fact_Transactions]" displayFolder="" count="0" memberValueDatatype="20" unbalanced="0"/>
    <cacheHierarchy uniqueName="[fact_Transactions].[Month Name]" caption="Month Name" attribute="1" defaultMemberUniqueName="[fact_Transactions].[Month Name].[All]" allUniqueName="[fact_Transactions].[Month Name].[All]" dimensionUniqueName="[fact_Transactions]" displayFolder="" count="0" memberValueDatatype="130" unbalanced="0"/>
    <cacheHierarchy uniqueName="[fact_Transactions].[Day Name]" caption="Day Name" attribute="1" defaultMemberUniqueName="[fact_Transactions].[Day Name].[All]" allUniqueName="[fact_Transactions].[Day Name].[All]" dimensionUniqueName="[fact_Transactions]" displayFolder="" count="0" memberValueDatatype="130" unbalanced="0"/>
    <cacheHierarchy uniqueName="[fact_Transactions].[Hour]" caption="Hour" attribute="1" defaultMemberUniqueName="[fact_Transactions].[Hour].[All]" allUniqueName="[fact_Transactions].[Hour].[All]" dimensionUniqueName="[fact_Transactions]" displayFolder="" count="0" memberValueDatatype="20" unbalanced="0"/>
    <cacheHierarchy uniqueName="[fact_Transactions].[YearMonth]" caption="YearMonth" attribute="1" defaultMemberUniqueName="[fact_Transactions].[YearMonth].[All]" allUniqueName="[fact_Transactions].[YearMonth].[All]" dimensionUniqueName="[fact_Transactions]" displayFolder="" count="0" memberValueDatatype="130" unbalanced="0"/>
    <cacheHierarchy uniqueName="[fact_Transactions].[TransactionDate]" caption="TransactionDate" attribute="1" time="1" defaultMemberUniqueName="[fact_Transactions].[TransactionDate].[All]" allUniqueName="[fact_Transactions].[TransactionDate].[All]" dimensionUniqueName="[fact_Transactions]" displayFolder="" count="0" memberValueDatatype="7" unbalanced="0"/>
    <cacheHierarchy uniqueName="[fact_Transactions].[RevenueType]" caption="RevenueType" attribute="1" defaultMemberUniqueName="[fact_Transactions].[RevenueType].[All]" allUniqueName="[fact_Transactions].[RevenueType].[All]" dimensionUniqueName="[fact_Transactions]" displayFolder="" count="0" memberValueDatatype="130" unbalanced="0"/>
    <cacheHierarchy uniqueName="[Measures].[Sum of Revenue]" caption="Sum of Revenue" measure="1" displayFolder="" measureGroup="fact_Transactions" count="0">
      <extLst>
        <ext xmlns:x15="http://schemas.microsoft.com/office/spreadsheetml/2010/11/main" uri="{B97F6D7D-B522-45F9-BDA1-12C45D357490}">
          <x15:cacheHierarchy aggregatedColumn="26"/>
        </ext>
      </extLst>
    </cacheHierarchy>
    <cacheHierarchy uniqueName="[Measures].[Total Revenue]" caption="Total Revenue" measure="1" displayFolder="" measureGroup="fact_Transactions" count="0"/>
    <cacheHierarchy uniqueName="[Measures].[Core Sales Revenue]" caption="Core Sales Revenue" measure="1" displayFolder="" measureGroup="fact_Transactions" count="0" oneField="1">
      <fieldsUsage count="1">
        <fieldUsage x="2"/>
      </fieldsUsage>
    </cacheHierarchy>
    <cacheHierarchy uniqueName="[Measures].[Non-Core Revenue]" caption="Non-Core Revenue" measure="1" displayFolder="" measureGroup="fact_Transactions" count="0"/>
    <cacheHierarchy uniqueName="[Measures].[Transaction Lines]" caption="Transaction Lines" measure="1" displayFolder="" measureGroup="fact_Transactions" count="0"/>
    <cacheHierarchy uniqueName="[Measures].[Total Orders]" caption="Total Orders" measure="1" displayFolder="" measureGroup="fact_Transactions" count="0"/>
    <cacheHierarchy uniqueName="[Measures].[Core Orders]" caption="Core Orders" measure="1" displayFolder="" measureGroup="fact_Transactions" count="0"/>
    <cacheHierarchy uniqueName="[Measures].[Unique Customers]" caption="Unique Customers" measure="1" displayFolder="" measureGroup="fact_Transactions" count="0"/>
    <cacheHierarchy uniqueName="[Measures].[Average Order Value]" caption="Average Order Value" measure="1" displayFolder="" measureGroup="fact_Transactions" count="0"/>
    <cacheHierarchy uniqueName="[Measures].[Revenue per Customer]" caption="Revenue per Customer" measure="1" displayFolder="" measureGroup="fact_Transactions" count="0"/>
    <cacheHierarchy uniqueName="[Measures].[Core Units Sold]" caption="Core Units Sold" measure="1" displayFolder="" measureGroup="fact_Transactions" count="0"/>
    <cacheHierarchy uniqueName="[Measures].[Products Sold]" caption="Products Sold" measure="1" displayFolder="" measureGroup="fact_Transactions" count="0"/>
    <cacheHierarchy uniqueName="[Measures].[Cancellation Revenue]" caption="Cancellation Revenue" measure="1" displayFolder="" measureGroup="fact_Transactions" count="0"/>
    <cacheHierarchy uniqueName="[Measures].[Previous Year Core Revenue]" caption="Previous Year Core Revenue" measure="1" displayFolder="" measureGroup="fact_Transactions" count="0"/>
    <cacheHierarchy uniqueName="[Measures].[YoY Revenue Change]" caption="YoY Revenue Change" measure="1" displayFolder="" measureGroup="fact_Transactions" count="0"/>
    <cacheHierarchy uniqueName="[Measures].[YoY Revenue Growth %]" caption="YoY Revenue Growth %" measure="1" displayFolder="" measureGroup="fact_Transactions" count="0"/>
    <cacheHierarchy uniqueName="[Measures].[Core Revenue Share %]" caption="Core Revenue Share %" measure="1" displayFolder="" measureGroup="fact_Transactions" count="0"/>
    <cacheHierarchy uniqueName="[Measures].[Previous Month Core Revenue]" caption="Previous Month Core Revenue" measure="1" displayFolder="" measureGroup="fact_Transactions" count="0"/>
    <cacheHierarchy uniqueName="[Measures].[MoM Revenue Growth %]" caption="MoM Revenue Growth %" measure="1" displayFolder="" measureGroup="fact_Transactions" count="0"/>
    <cacheHierarchy uniqueName="[Measures].[__XL_Count fact_Transactions]" caption="__XL_Count fact_Transactions" measure="1" displayFolder="" measureGroup="fact_Transactions"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dim_Customer]" caption="__XL_Count dim_Customer" measure="1" displayFolder="" measureGroup="dim_Customer" count="0" hidden="1"/>
    <cacheHierarchy uniqueName="[Measures].[__XL_Count dim_Country]" caption="__XL_Count dim_Country" measure="1" displayFolder="" measureGroup="dim_Country" count="0" hidden="1"/>
    <cacheHierarchy uniqueName="[Measures].[__No measures defined]" caption="__No measures defined" measure="1" displayFolder="" count="0" hidden="1"/>
  </cacheHierarchies>
  <kpis count="0"/>
  <dimensions count="6">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Transactions" uniqueName="[fact_Transactions]" caption="fact_Transactions"/>
    <dimension measure="1" name="Measures" uniqueName="[Measures]" caption="Measures"/>
  </dimensions>
  <measureGroups count="5">
    <measureGroup name="dim_Country" caption="dim_Country"/>
    <measureGroup name="dim_Customer" caption="dim_Customer"/>
    <measureGroup name="dim_Date" caption="dim_Date"/>
    <measureGroup name="dim_Product" caption="dim_Product"/>
    <measureGroup name="fact_Transactions" caption="fact_Transactions"/>
  </measureGroups>
  <maps count="9">
    <map measureGroup="0" dimension="0"/>
    <map measureGroup="1" dimension="1"/>
    <map measureGroup="2"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ara Pires" refreshedDate="46271.877492129628" createdVersion="8" refreshedVersion="8" minRefreshableVersion="3" recordCount="0" supportSubquery="1" supportAdvancedDrill="1" xr:uid="{C7144F40-DBC3-4532-B57D-7BEF9DFF4E1C}">
  <cacheSource type="external" connectionId="12"/>
  <cacheFields count="5">
    <cacheField name="[dim_Product].[Description].[Description]" caption="Description" numFmtId="0" hierarchy="11" level="1">
      <sharedItems count="10">
        <s v="ASSORTED COLOUR BIRD ORNAMENT"/>
        <s v="CHILLI LIGHTS"/>
        <s v="JUMBO BAG RED RETROSPOT"/>
        <s v="MEDIUM CERAMIC TOP STORAGE JAR"/>
        <s v="PAPER CHAIN KIT 50'S CHRISTMAS"/>
        <s v="PAPER CRAFT , LITTLE BIRDIE"/>
        <s v="PARTY BUNTING"/>
        <s v="REGENCY CAKESTAND 3 TIER"/>
        <s v="SMALL POPCORN HOLDER"/>
        <s v="WHITE HANGING HEART T-LIGHT HOLDER"/>
      </sharedItems>
    </cacheField>
    <cacheField name="[Measures].[Core Sales Revenue]" caption="Core Sales Revenue" numFmtId="0" hierarchy="38" level="32767"/>
    <cacheField name="[Measures].[Core Orders]" caption="Core Orders" numFmtId="0" hierarchy="42" level="32767"/>
    <cacheField name="[Measures].[Core Units Sold]" caption="Core Units Sold" numFmtId="0" hierarchy="46" level="32767"/>
    <cacheField name="[dim_Product].[RecordType].[RecordType]" caption="RecordType" numFmtId="0" hierarchy="13" level="1">
      <sharedItems containsSemiMixedTypes="0" containsNonDate="0" containsString="0"/>
    </cacheField>
  </cacheFields>
  <cacheHierarchies count="61">
    <cacheHierarchy uniqueName="[dim_Country].[Country]" caption="Country" attribute="1" defaultMemberUniqueName="[dim_Country].[Country].[All]" allUniqueName="[dim_Country].[Country].[All]" dimensionUniqueName="[dim_Country]" displayFolder="" count="0" memberValueDatatype="130" unbalanced="0"/>
    <cacheHierarchy uniqueName="[dim_Customer].[Customer ID]" caption="Customer ID" attribute="1" defaultMemberUniqueName="[dim_Customer].[Customer ID].[All]" allUniqueName="[dim_Customer].[Customer ID].[All]" dimensionUniqueName="[dim_Customer]" displayFolder="" count="0" memberValueDatatype="130" unbalanced="0"/>
    <cacheHierarchy uniqueName="[dim_Date].[Date]" caption="Date" attribute="1" time="1" keyAttribute="1" defaultMemberUniqueName="[dim_Date].[Date].[All]" allUniqueName="[dim_Date].[Date].[All]" dimensionUniqueName="[dim_Date]" displayFolder="" count="0" memberValueDatatype="7" unbalanced="0"/>
    <cacheHierarchy uniqueName="[dim_Date].[Year]" caption="Year" attribute="1" time="1" defaultMemberUniqueName="[dim_Date].[Year].[All]" allUniqueName="[dim_Date].[Year].[All]" dimensionUniqueName="[dim_Date]" displayFolder="" count="0" memberValueDatatype="20" unbalanced="0"/>
    <cacheHierarchy uniqueName="[dim_Date].[Quarter]" caption="Quarter" attribute="1" time="1" defaultMemberUniqueName="[dim_Date].[Quarter].[All]" allUniqueName="[dim_Date].[Quarter].[All]" dimensionUniqueName="[dim_Date]" displayFolder="" count="0" memberValueDatatype="20" unbalanced="0"/>
    <cacheHierarchy uniqueName="[dim_Date].[MonthNumber]" caption="MonthNumber" attribute="1" time="1" defaultMemberUniqueName="[dim_Date].[MonthNumber].[All]" allUniqueName="[dim_Date].[MonthNumber].[All]" dimensionUniqueName="[dim_Date]" displayFolder="" count="0" memberValueDatatype="20" unbalanced="0"/>
    <cacheHierarchy uniqueName="[dim_Date].[MonthName]" caption="MonthName" attribute="1" time="1" defaultMemberUniqueName="[dim_Date].[MonthName].[All]" allUniqueName="[dim_Date].[MonthName].[All]" dimensionUniqueName="[dim_Date]" displayFolder="" count="0" memberValueDatatype="130" unbalanced="0"/>
    <cacheHierarchy uniqueName="[dim_Date].[Day]" caption="Day" attribute="1" time="1" defaultMemberUniqueName="[dim_Date].[Day].[All]" allUniqueName="[dim_Date].[Day].[All]" dimensionUniqueName="[dim_Date]" displayFolder="" count="0" memberValueDatatype="20" unbalanced="0"/>
    <cacheHierarchy uniqueName="[dim_Date].[DayName]" caption="DayName" attribute="1" time="1" defaultMemberUniqueName="[dim_Date].[DayName].[All]" allUniqueName="[dim_Date].[DayName].[All]" dimensionUniqueName="[dim_Date]" displayFolder="" count="0" memberValueDatatype="130" unbalanced="0"/>
    <cacheHierarchy uniqueName="[dim_Date].[YearMonth]" caption="YearMonth" attribute="1" time="1" defaultMemberUniqueName="[dim_Date].[YearMonth].[All]" allUniqueName="[dim_Date].[YearMonth].[All]" dimensionUniqueName="[dim_Date]" displayFolder="" count="0" memberValueDatatype="130" unbalanced="0"/>
    <cacheHierarchy uniqueName="[dim_Product].[StockCode]" caption="StockCode" attribute="1" defaultMemberUniqueName="[dim_Product].[StockCode].[All]" allUniqueName="[dim_Product].[StockCode].[All]" dimensionUniqueName="[dim_Product]" displayFolder="" count="0" memberValueDatatype="130" unbalanced="0"/>
    <cacheHierarchy uniqueName="[dim_Product].[Description]" caption="Description" attribute="1" defaultMemberUniqueName="[dim_Product].[Description].[All]" allUniqueName="[dim_Product].[Description].[All]" dimensionUniqueName="[dim_Product]" displayFolder="" count="2" memberValueDatatype="130" unbalanced="0">
      <fieldsUsage count="2">
        <fieldUsage x="-1"/>
        <fieldUsage x="0"/>
      </fieldsUsage>
    </cacheHierarchy>
    <cacheHierarchy uniqueName="[dim_Product].[DescriptionCount]" caption="DescriptionCount" attribute="1" defaultMemberUniqueName="[dim_Product].[DescriptionCount].[All]" allUniqueName="[dim_Product].[DescriptionCount].[All]" dimensionUniqueName="[dim_Product]" displayFolder="" count="0" memberValueDatatype="130" unbalanced="0"/>
    <cacheHierarchy uniqueName="[dim_Product].[RecordType]" caption="RecordType" attribute="1" defaultMemberUniqueName="[dim_Product].[RecordType].[All]" allUniqueName="[dim_Product].[RecordType].[All]" dimensionUniqueName="[dim_Product]" displayFolder="" count="2" memberValueDatatype="130" unbalanced="0">
      <fieldsUsage count="2">
        <fieldUsage x="-1"/>
        <fieldUsage x="4"/>
      </fieldsUsage>
    </cacheHierarchy>
    <cacheHierarchy uniqueName="[fact_Transactions].[Invoice]" caption="Invoice" attribute="1" defaultMemberUniqueName="[fact_Transactions].[Invoice].[All]" allUniqueName="[fact_Transactions].[Invoice].[All]" dimensionUniqueName="[fact_Transactions]" displayFolder="" count="0" memberValueDatatype="130" unbalanced="0"/>
    <cacheHierarchy uniqueName="[fact_Transactions].[StockCode]" caption="StockCode" attribute="1" defaultMemberUniqueName="[fact_Transactions].[StockCode].[All]" allUniqueName="[fact_Transactions].[StockCode].[All]" dimensionUniqueName="[fact_Transactions]" displayFolder="" count="0" memberValueDatatype="130" unbalanced="0"/>
    <cacheHierarchy uniqueName="[fact_Transactions].[Description]" caption="Description" attribute="1" defaultMemberUniqueName="[fact_Transactions].[Description].[All]" allUniqueName="[fact_Transactions].[Description].[All]" dimensionUniqueName="[fact_Transactions]" displayFolder="" count="0" memberValueDatatype="130" unbalanced="0"/>
    <cacheHierarchy uniqueName="[fact_Transactions].[Quantity]" caption="Quantity" attribute="1" defaultMemberUniqueName="[fact_Transactions].[Quantity].[All]" allUniqueName="[fact_Transactions].[Quantity].[All]" dimensionUniqueName="[fact_Transactions]" displayFolder="" count="0" memberValueDatatype="20" unbalanced="0"/>
    <cacheHierarchy uniqueName="[fact_Transactions].[InvoiceDate]" caption="InvoiceDate" attribute="1" time="1" defaultMemberUniqueName="[fact_Transactions].[InvoiceDate].[All]" allUniqueName="[fact_Transactions].[InvoiceDate].[All]" dimensionUniqueName="[fact_Transactions]" displayFolder="" count="0" memberValueDatatype="7" unbalanced="0"/>
    <cacheHierarchy uniqueName="[fact_Transactions].[Price]" caption="Price" attribute="1" defaultMemberUniqueName="[fact_Transactions].[Price].[All]" allUniqueName="[fact_Transactions].[Price].[All]" dimensionUniqueName="[fact_Transactions]" displayFolder="" count="0" memberValueDatatype="5" unbalanced="0"/>
    <cacheHierarchy uniqueName="[fact_Transactions].[Customer ID]" caption="Customer ID" attribute="1" defaultMemberUniqueName="[fact_Transactions].[Customer ID].[All]" allUniqueName="[fact_Transactions].[Customer ID].[All]" dimensionUniqueName="[fact_Transactions]" displayFolder="" count="0" memberValueDatatype="130" unbalanced="0"/>
    <cacheHierarchy uniqueName="[fact_Transactions].[Country]" caption="Country" attribute="1" defaultMemberUniqueName="[fact_Transactions].[Country].[All]" allUniqueName="[fact_Transactions].[Country].[All]" dimensionUniqueName="[fact_Transactions]" displayFolder="" count="0" memberValueDatatype="130" unbalanced="0"/>
    <cacheHierarchy uniqueName="[fact_Transactions].[InvoiceType]" caption="InvoiceType" attribute="1" defaultMemberUniqueName="[fact_Transactions].[InvoiceType].[All]" allUniqueName="[fact_Transactions].[InvoiceType].[All]" dimensionUniqueName="[fact_Transactions]" displayFolder="" count="0" memberValueDatatype="130" unbalanced="0"/>
    <cacheHierarchy uniqueName="[fact_Transactions].[QuantityType]" caption="QuantityType" attribute="1" defaultMemberUniqueName="[fact_Transactions].[QuantityType].[All]" allUniqueName="[fact_Transactions].[QuantityType].[All]" dimensionUniqueName="[fact_Transactions]" displayFolder="" count="0" memberValueDatatype="130" unbalanced="0"/>
    <cacheHierarchy uniqueName="[fact_Transactions].[RecordType]" caption="RecordType" attribute="1" defaultMemberUniqueName="[fact_Transactions].[RecordType].[All]" allUniqueName="[fact_Transactions].[RecordType].[All]" dimensionUniqueName="[fact_Transactions]" displayFolder="" count="0" memberValueDatatype="130" unbalanced="0"/>
    <cacheHierarchy uniqueName="[fact_Transactions].[AnalysisStatus]" caption="AnalysisStatus" attribute="1" defaultMemberUniqueName="[fact_Transactions].[AnalysisStatus].[All]" allUniqueName="[fact_Transactions].[AnalysisStatus].[All]" dimensionUniqueName="[fact_Transactions]" displayFolder="" count="0" memberValueDatatype="130" unbalanced="0"/>
    <cacheHierarchy uniqueName="[fact_Transactions].[Revenue]" caption="Revenue" attribute="1" defaultMemberUniqueName="[fact_Transactions].[Revenue].[All]" allUniqueName="[fact_Transactions].[Revenue].[All]" dimensionUniqueName="[fact_Transactions]" displayFolder="" count="0" memberValueDatatype="5" unbalanced="0"/>
    <cacheHierarchy uniqueName="[fact_Transactions].[Year]" caption="Year" attribute="1" defaultMemberUniqueName="[fact_Transactions].[Year].[All]" allUniqueName="[fact_Transactions].[Year].[All]" dimensionUniqueName="[fact_Transactions]" displayFolder="" count="0" memberValueDatatype="20" unbalanced="0"/>
    <cacheHierarchy uniqueName="[fact_Transactions].[Quarter]" caption="Quarter" attribute="1" defaultMemberUniqueName="[fact_Transactions].[Quarter].[All]" allUniqueName="[fact_Transactions].[Quarter].[All]" dimensionUniqueName="[fact_Transactions]" displayFolder="" count="0" memberValueDatatype="20" unbalanced="0"/>
    <cacheHierarchy uniqueName="[fact_Transactions].[Month]" caption="Month" attribute="1" defaultMemberUniqueName="[fact_Transactions].[Month].[All]" allUniqueName="[fact_Transactions].[Month].[All]" dimensionUniqueName="[fact_Transactions]" displayFolder="" count="0" memberValueDatatype="20" unbalanced="0"/>
    <cacheHierarchy uniqueName="[fact_Transactions].[Month Name]" caption="Month Name" attribute="1" defaultMemberUniqueName="[fact_Transactions].[Month Name].[All]" allUniqueName="[fact_Transactions].[Month Name].[All]" dimensionUniqueName="[fact_Transactions]" displayFolder="" count="0" memberValueDatatype="130" unbalanced="0"/>
    <cacheHierarchy uniqueName="[fact_Transactions].[Day Name]" caption="Day Name" attribute="1" defaultMemberUniqueName="[fact_Transactions].[Day Name].[All]" allUniqueName="[fact_Transactions].[Day Name].[All]" dimensionUniqueName="[fact_Transactions]" displayFolder="" count="0" memberValueDatatype="130" unbalanced="0"/>
    <cacheHierarchy uniqueName="[fact_Transactions].[Hour]" caption="Hour" attribute="1" defaultMemberUniqueName="[fact_Transactions].[Hour].[All]" allUniqueName="[fact_Transactions].[Hour].[All]" dimensionUniqueName="[fact_Transactions]" displayFolder="" count="0" memberValueDatatype="20" unbalanced="0"/>
    <cacheHierarchy uniqueName="[fact_Transactions].[YearMonth]" caption="YearMonth" attribute="1" defaultMemberUniqueName="[fact_Transactions].[YearMonth].[All]" allUniqueName="[fact_Transactions].[YearMonth].[All]" dimensionUniqueName="[fact_Transactions]" displayFolder="" count="0" memberValueDatatype="130" unbalanced="0"/>
    <cacheHierarchy uniqueName="[fact_Transactions].[TransactionDate]" caption="TransactionDate" attribute="1" time="1" defaultMemberUniqueName="[fact_Transactions].[TransactionDate].[All]" allUniqueName="[fact_Transactions].[TransactionDate].[All]" dimensionUniqueName="[fact_Transactions]" displayFolder="" count="0" memberValueDatatype="7" unbalanced="0"/>
    <cacheHierarchy uniqueName="[fact_Transactions].[RevenueType]" caption="RevenueType" attribute="1" defaultMemberUniqueName="[fact_Transactions].[RevenueType].[All]" allUniqueName="[fact_Transactions].[RevenueType].[All]" dimensionUniqueName="[fact_Transactions]" displayFolder="" count="0" memberValueDatatype="130" unbalanced="0"/>
    <cacheHierarchy uniqueName="[Measures].[Sum of Revenue]" caption="Sum of Revenue" measure="1" displayFolder="" measureGroup="fact_Transactions" count="0">
      <extLst>
        <ext xmlns:x15="http://schemas.microsoft.com/office/spreadsheetml/2010/11/main" uri="{B97F6D7D-B522-45F9-BDA1-12C45D357490}">
          <x15:cacheHierarchy aggregatedColumn="26"/>
        </ext>
      </extLst>
    </cacheHierarchy>
    <cacheHierarchy uniqueName="[Measures].[Total Revenue]" caption="Total Revenue" measure="1" displayFolder="" measureGroup="fact_Transactions" count="0"/>
    <cacheHierarchy uniqueName="[Measures].[Core Sales Revenue]" caption="Core Sales Revenue" measure="1" displayFolder="" measureGroup="fact_Transactions" count="0" oneField="1">
      <fieldsUsage count="1">
        <fieldUsage x="1"/>
      </fieldsUsage>
    </cacheHierarchy>
    <cacheHierarchy uniqueName="[Measures].[Non-Core Revenue]" caption="Non-Core Revenue" measure="1" displayFolder="" measureGroup="fact_Transactions" count="0"/>
    <cacheHierarchy uniqueName="[Measures].[Transaction Lines]" caption="Transaction Lines" measure="1" displayFolder="" measureGroup="fact_Transactions" count="0"/>
    <cacheHierarchy uniqueName="[Measures].[Total Orders]" caption="Total Orders" measure="1" displayFolder="" measureGroup="fact_Transactions" count="0"/>
    <cacheHierarchy uniqueName="[Measures].[Core Orders]" caption="Core Orders" measure="1" displayFolder="" measureGroup="fact_Transactions" count="0" oneField="1">
      <fieldsUsage count="1">
        <fieldUsage x="2"/>
      </fieldsUsage>
    </cacheHierarchy>
    <cacheHierarchy uniqueName="[Measures].[Unique Customers]" caption="Unique Customers" measure="1" displayFolder="" measureGroup="fact_Transactions" count="0"/>
    <cacheHierarchy uniqueName="[Measures].[Average Order Value]" caption="Average Order Value" measure="1" displayFolder="" measureGroup="fact_Transactions" count="0"/>
    <cacheHierarchy uniqueName="[Measures].[Revenue per Customer]" caption="Revenue per Customer" measure="1" displayFolder="" measureGroup="fact_Transactions" count="0"/>
    <cacheHierarchy uniqueName="[Measures].[Core Units Sold]" caption="Core Units Sold" measure="1" displayFolder="" measureGroup="fact_Transactions" count="0" oneField="1">
      <fieldsUsage count="1">
        <fieldUsage x="3"/>
      </fieldsUsage>
    </cacheHierarchy>
    <cacheHierarchy uniqueName="[Measures].[Products Sold]" caption="Products Sold" measure="1" displayFolder="" measureGroup="fact_Transactions" count="0"/>
    <cacheHierarchy uniqueName="[Measures].[Cancellation Revenue]" caption="Cancellation Revenue" measure="1" displayFolder="" measureGroup="fact_Transactions" count="0"/>
    <cacheHierarchy uniqueName="[Measures].[Previous Year Core Revenue]" caption="Previous Year Core Revenue" measure="1" displayFolder="" measureGroup="fact_Transactions" count="0"/>
    <cacheHierarchy uniqueName="[Measures].[YoY Revenue Change]" caption="YoY Revenue Change" measure="1" displayFolder="" measureGroup="fact_Transactions" count="0"/>
    <cacheHierarchy uniqueName="[Measures].[YoY Revenue Growth %]" caption="YoY Revenue Growth %" measure="1" displayFolder="" measureGroup="fact_Transactions" count="0"/>
    <cacheHierarchy uniqueName="[Measures].[Core Revenue Share %]" caption="Core Revenue Share %" measure="1" displayFolder="" measureGroup="fact_Transactions" count="0"/>
    <cacheHierarchy uniqueName="[Measures].[Previous Month Core Revenue]" caption="Previous Month Core Revenue" measure="1" displayFolder="" measureGroup="fact_Transactions" count="0"/>
    <cacheHierarchy uniqueName="[Measures].[MoM Revenue Growth %]" caption="MoM Revenue Growth %" measure="1" displayFolder="" measureGroup="fact_Transactions" count="0"/>
    <cacheHierarchy uniqueName="[Measures].[__XL_Count fact_Transactions]" caption="__XL_Count fact_Transactions" measure="1" displayFolder="" measureGroup="fact_Transactions"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dim_Customer]" caption="__XL_Count dim_Customer" measure="1" displayFolder="" measureGroup="dim_Customer" count="0" hidden="1"/>
    <cacheHierarchy uniqueName="[Measures].[__XL_Count dim_Country]" caption="__XL_Count dim_Country" measure="1" displayFolder="" measureGroup="dim_Country" count="0" hidden="1"/>
    <cacheHierarchy uniqueName="[Measures].[__No measures defined]" caption="__No measures defined" measure="1" displayFolder="" count="0" hidden="1"/>
  </cacheHierarchies>
  <kpis count="0"/>
  <dimensions count="6">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Transactions" uniqueName="[fact_Transactions]" caption="fact_Transactions"/>
    <dimension measure="1" name="Measures" uniqueName="[Measures]" caption="Measures"/>
  </dimensions>
  <measureGroups count="5">
    <measureGroup name="dim_Country" caption="dim_Country"/>
    <measureGroup name="dim_Customer" caption="dim_Customer"/>
    <measureGroup name="dim_Date" caption="dim_Date"/>
    <measureGroup name="dim_Product" caption="dim_Product"/>
    <measureGroup name="fact_Transactions" caption="fact_Transactions"/>
  </measureGroups>
  <maps count="9">
    <map measureGroup="0" dimension="0"/>
    <map measureGroup="1" dimension="1"/>
    <map measureGroup="2"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ara Pires" refreshedDate="46271.877494097222" createdVersion="8" refreshedVersion="8" minRefreshableVersion="3" recordCount="0" supportSubquery="1" supportAdvancedDrill="1" xr:uid="{4F09AADB-C4B3-4BE2-9EE3-6F8A0A6C0951}">
  <cacheSource type="external" connectionId="12"/>
  <cacheFields count="2">
    <cacheField name="[dim_Country].[Country].[Country]" caption="Country" numFmtId="0" level="1">
      <sharedItems count="10">
        <s v="Australia"/>
        <s v="Denmark"/>
        <s v="France"/>
        <s v="Germany"/>
        <s v="Ireland"/>
        <s v="Netherlands"/>
        <s v="Spain"/>
        <s v="Sweden"/>
        <s v="Switzerland"/>
        <s v="United Kingdom"/>
      </sharedItems>
    </cacheField>
    <cacheField name="[Measures].[Core Sales Revenue]" caption="Core Sales Revenue" numFmtId="0" hierarchy="38" level="32767"/>
  </cacheFields>
  <cacheHierarchies count="61">
    <cacheHierarchy uniqueName="[dim_Country].[Country]" caption="Country" attribute="1" defaultMemberUniqueName="[dim_Country].[Country].[All]" allUniqueName="[dim_Country].[Country].[All]" dimensionUniqueName="[dim_Country]" displayFolder="" count="2" memberValueDatatype="130" unbalanced="0">
      <fieldsUsage count="2">
        <fieldUsage x="-1"/>
        <fieldUsage x="0"/>
      </fieldsUsage>
    </cacheHierarchy>
    <cacheHierarchy uniqueName="[dim_Customer].[Customer ID]" caption="Customer ID" attribute="1" defaultMemberUniqueName="[dim_Customer].[Customer ID].[All]" allUniqueName="[dim_Customer].[Customer ID].[All]" dimensionUniqueName="[dim_Customer]" displayFolder="" count="0" memberValueDatatype="130" unbalanced="0"/>
    <cacheHierarchy uniqueName="[dim_Date].[Date]" caption="Date" attribute="1" time="1" keyAttribute="1" defaultMemberUniqueName="[dim_Date].[Date].[All]" allUniqueName="[dim_Date].[Date].[All]" dimensionUniqueName="[dim_Date]" displayFolder="" count="0" memberValueDatatype="7" unbalanced="0"/>
    <cacheHierarchy uniqueName="[dim_Date].[Year]" caption="Year" attribute="1" time="1" defaultMemberUniqueName="[dim_Date].[Year].[All]" allUniqueName="[dim_Date].[Year].[All]" dimensionUniqueName="[dim_Date]" displayFolder="" count="0" memberValueDatatype="20" unbalanced="0"/>
    <cacheHierarchy uniqueName="[dim_Date].[Quarter]" caption="Quarter" attribute="1" time="1" defaultMemberUniqueName="[dim_Date].[Quarter].[All]" allUniqueName="[dim_Date].[Quarter].[All]" dimensionUniqueName="[dim_Date]" displayFolder="" count="0" memberValueDatatype="20" unbalanced="0"/>
    <cacheHierarchy uniqueName="[dim_Date].[MonthNumber]" caption="MonthNumber" attribute="1" time="1" defaultMemberUniqueName="[dim_Date].[MonthNumber].[All]" allUniqueName="[dim_Date].[MonthNumber].[All]" dimensionUniqueName="[dim_Date]" displayFolder="" count="0" memberValueDatatype="20" unbalanced="0"/>
    <cacheHierarchy uniqueName="[dim_Date].[MonthName]" caption="MonthName" attribute="1" time="1" defaultMemberUniqueName="[dim_Date].[MonthName].[All]" allUniqueName="[dim_Date].[MonthName].[All]" dimensionUniqueName="[dim_Date]" displayFolder="" count="0" memberValueDatatype="130" unbalanced="0"/>
    <cacheHierarchy uniqueName="[dim_Date].[Day]" caption="Day" attribute="1" time="1" defaultMemberUniqueName="[dim_Date].[Day].[All]" allUniqueName="[dim_Date].[Day].[All]" dimensionUniqueName="[dim_Date]" displayFolder="" count="0" memberValueDatatype="20" unbalanced="0"/>
    <cacheHierarchy uniqueName="[dim_Date].[DayName]" caption="DayName" attribute="1" time="1" defaultMemberUniqueName="[dim_Date].[DayName].[All]" allUniqueName="[dim_Date].[DayName].[All]" dimensionUniqueName="[dim_Date]" displayFolder="" count="0" memberValueDatatype="130" unbalanced="0"/>
    <cacheHierarchy uniqueName="[dim_Date].[YearMonth]" caption="YearMonth" attribute="1" time="1" defaultMemberUniqueName="[dim_Date].[YearMonth].[All]" allUniqueName="[dim_Date].[YearMonth].[All]" dimensionUniqueName="[dim_Date]" displayFolder="" count="0" memberValueDatatype="130" unbalanced="0"/>
    <cacheHierarchy uniqueName="[dim_Product].[StockCode]" caption="StockCode" attribute="1" defaultMemberUniqueName="[dim_Product].[StockCode].[All]" allUniqueName="[dim_Product].[StockCode].[All]" dimensionUniqueName="[dim_Product]" displayFolder="" count="0" memberValueDatatype="130" unbalanced="0"/>
    <cacheHierarchy uniqueName="[dim_Product].[Description]" caption="Description" attribute="1" defaultMemberUniqueName="[dim_Product].[Description].[All]" allUniqueName="[dim_Product].[Description].[All]" dimensionUniqueName="[dim_Product]" displayFolder="" count="0" memberValueDatatype="130" unbalanced="0"/>
    <cacheHierarchy uniqueName="[dim_Product].[DescriptionCount]" caption="DescriptionCount" attribute="1" defaultMemberUniqueName="[dim_Product].[DescriptionCount].[All]" allUniqueName="[dim_Product].[DescriptionCount].[All]" dimensionUniqueName="[dim_Product]" displayFolder="" count="0" memberValueDatatype="130" unbalanced="0"/>
    <cacheHierarchy uniqueName="[dim_Product].[RecordType]" caption="RecordType" attribute="1" defaultMemberUniqueName="[dim_Product].[RecordType].[All]" allUniqueName="[dim_Product].[RecordType].[All]" dimensionUniqueName="[dim_Product]" displayFolder="" count="0" memberValueDatatype="130" unbalanced="0"/>
    <cacheHierarchy uniqueName="[fact_Transactions].[Invoice]" caption="Invoice" attribute="1" defaultMemberUniqueName="[fact_Transactions].[Invoice].[All]" allUniqueName="[fact_Transactions].[Invoice].[All]" dimensionUniqueName="[fact_Transactions]" displayFolder="" count="0" memberValueDatatype="130" unbalanced="0"/>
    <cacheHierarchy uniqueName="[fact_Transactions].[StockCode]" caption="StockCode" attribute="1" defaultMemberUniqueName="[fact_Transactions].[StockCode].[All]" allUniqueName="[fact_Transactions].[StockCode].[All]" dimensionUniqueName="[fact_Transactions]" displayFolder="" count="0" memberValueDatatype="130" unbalanced="0"/>
    <cacheHierarchy uniqueName="[fact_Transactions].[Description]" caption="Description" attribute="1" defaultMemberUniqueName="[fact_Transactions].[Description].[All]" allUniqueName="[fact_Transactions].[Description].[All]" dimensionUniqueName="[fact_Transactions]" displayFolder="" count="0" memberValueDatatype="130" unbalanced="0"/>
    <cacheHierarchy uniqueName="[fact_Transactions].[Quantity]" caption="Quantity" attribute="1" defaultMemberUniqueName="[fact_Transactions].[Quantity].[All]" allUniqueName="[fact_Transactions].[Quantity].[All]" dimensionUniqueName="[fact_Transactions]" displayFolder="" count="0" memberValueDatatype="20" unbalanced="0"/>
    <cacheHierarchy uniqueName="[fact_Transactions].[InvoiceDate]" caption="InvoiceDate" attribute="1" time="1" defaultMemberUniqueName="[fact_Transactions].[InvoiceDate].[All]" allUniqueName="[fact_Transactions].[InvoiceDate].[All]" dimensionUniqueName="[fact_Transactions]" displayFolder="" count="0" memberValueDatatype="7" unbalanced="0"/>
    <cacheHierarchy uniqueName="[fact_Transactions].[Price]" caption="Price" attribute="1" defaultMemberUniqueName="[fact_Transactions].[Price].[All]" allUniqueName="[fact_Transactions].[Price].[All]" dimensionUniqueName="[fact_Transactions]" displayFolder="" count="0" memberValueDatatype="5" unbalanced="0"/>
    <cacheHierarchy uniqueName="[fact_Transactions].[Customer ID]" caption="Customer ID" attribute="1" defaultMemberUniqueName="[fact_Transactions].[Customer ID].[All]" allUniqueName="[fact_Transactions].[Customer ID].[All]" dimensionUniqueName="[fact_Transactions]" displayFolder="" count="0" memberValueDatatype="130" unbalanced="0"/>
    <cacheHierarchy uniqueName="[fact_Transactions].[Country]" caption="Country" attribute="1" defaultMemberUniqueName="[fact_Transactions].[Country].[All]" allUniqueName="[fact_Transactions].[Country].[All]" dimensionUniqueName="[fact_Transactions]" displayFolder="" count="0" memberValueDatatype="130" unbalanced="0"/>
    <cacheHierarchy uniqueName="[fact_Transactions].[InvoiceType]" caption="InvoiceType" attribute="1" defaultMemberUniqueName="[fact_Transactions].[InvoiceType].[All]" allUniqueName="[fact_Transactions].[InvoiceType].[All]" dimensionUniqueName="[fact_Transactions]" displayFolder="" count="0" memberValueDatatype="130" unbalanced="0"/>
    <cacheHierarchy uniqueName="[fact_Transactions].[QuantityType]" caption="QuantityType" attribute="1" defaultMemberUniqueName="[fact_Transactions].[QuantityType].[All]" allUniqueName="[fact_Transactions].[QuantityType].[All]" dimensionUniqueName="[fact_Transactions]" displayFolder="" count="0" memberValueDatatype="130" unbalanced="0"/>
    <cacheHierarchy uniqueName="[fact_Transactions].[RecordType]" caption="RecordType" attribute="1" defaultMemberUniqueName="[fact_Transactions].[RecordType].[All]" allUniqueName="[fact_Transactions].[RecordType].[All]" dimensionUniqueName="[fact_Transactions]" displayFolder="" count="0" memberValueDatatype="130" unbalanced="0"/>
    <cacheHierarchy uniqueName="[fact_Transactions].[AnalysisStatus]" caption="AnalysisStatus" attribute="1" defaultMemberUniqueName="[fact_Transactions].[AnalysisStatus].[All]" allUniqueName="[fact_Transactions].[AnalysisStatus].[All]" dimensionUniqueName="[fact_Transactions]" displayFolder="" count="0" memberValueDatatype="130" unbalanced="0"/>
    <cacheHierarchy uniqueName="[fact_Transactions].[Revenue]" caption="Revenue" attribute="1" defaultMemberUniqueName="[fact_Transactions].[Revenue].[All]" allUniqueName="[fact_Transactions].[Revenue].[All]" dimensionUniqueName="[fact_Transactions]" displayFolder="" count="0" memberValueDatatype="5" unbalanced="0"/>
    <cacheHierarchy uniqueName="[fact_Transactions].[Year]" caption="Year" attribute="1" defaultMemberUniqueName="[fact_Transactions].[Year].[All]" allUniqueName="[fact_Transactions].[Year].[All]" dimensionUniqueName="[fact_Transactions]" displayFolder="" count="0" memberValueDatatype="20" unbalanced="0"/>
    <cacheHierarchy uniqueName="[fact_Transactions].[Quarter]" caption="Quarter" attribute="1" defaultMemberUniqueName="[fact_Transactions].[Quarter].[All]" allUniqueName="[fact_Transactions].[Quarter].[All]" dimensionUniqueName="[fact_Transactions]" displayFolder="" count="0" memberValueDatatype="20" unbalanced="0"/>
    <cacheHierarchy uniqueName="[fact_Transactions].[Month]" caption="Month" attribute="1" defaultMemberUniqueName="[fact_Transactions].[Month].[All]" allUniqueName="[fact_Transactions].[Month].[All]" dimensionUniqueName="[fact_Transactions]" displayFolder="" count="0" memberValueDatatype="20" unbalanced="0"/>
    <cacheHierarchy uniqueName="[fact_Transactions].[Month Name]" caption="Month Name" attribute="1" defaultMemberUniqueName="[fact_Transactions].[Month Name].[All]" allUniqueName="[fact_Transactions].[Month Name].[All]" dimensionUniqueName="[fact_Transactions]" displayFolder="" count="0" memberValueDatatype="130" unbalanced="0"/>
    <cacheHierarchy uniqueName="[fact_Transactions].[Day Name]" caption="Day Name" attribute="1" defaultMemberUniqueName="[fact_Transactions].[Day Name].[All]" allUniqueName="[fact_Transactions].[Day Name].[All]" dimensionUniqueName="[fact_Transactions]" displayFolder="" count="0" memberValueDatatype="130" unbalanced="0"/>
    <cacheHierarchy uniqueName="[fact_Transactions].[Hour]" caption="Hour" attribute="1" defaultMemberUniqueName="[fact_Transactions].[Hour].[All]" allUniqueName="[fact_Transactions].[Hour].[All]" dimensionUniqueName="[fact_Transactions]" displayFolder="" count="0" memberValueDatatype="20" unbalanced="0"/>
    <cacheHierarchy uniqueName="[fact_Transactions].[YearMonth]" caption="YearMonth" attribute="1" defaultMemberUniqueName="[fact_Transactions].[YearMonth].[All]" allUniqueName="[fact_Transactions].[YearMonth].[All]" dimensionUniqueName="[fact_Transactions]" displayFolder="" count="0" memberValueDatatype="130" unbalanced="0"/>
    <cacheHierarchy uniqueName="[fact_Transactions].[TransactionDate]" caption="TransactionDate" attribute="1" time="1" defaultMemberUniqueName="[fact_Transactions].[TransactionDate].[All]" allUniqueName="[fact_Transactions].[TransactionDate].[All]" dimensionUniqueName="[fact_Transactions]" displayFolder="" count="0" memberValueDatatype="7" unbalanced="0"/>
    <cacheHierarchy uniqueName="[fact_Transactions].[RevenueType]" caption="RevenueType" attribute="1" defaultMemberUniqueName="[fact_Transactions].[RevenueType].[All]" allUniqueName="[fact_Transactions].[RevenueType].[All]" dimensionUniqueName="[fact_Transactions]" displayFolder="" count="0" memberValueDatatype="130" unbalanced="0"/>
    <cacheHierarchy uniqueName="[Measures].[Sum of Revenue]" caption="Sum of Revenue" measure="1" displayFolder="" measureGroup="fact_Transactions" count="0">
      <extLst>
        <ext xmlns:x15="http://schemas.microsoft.com/office/spreadsheetml/2010/11/main" uri="{B97F6D7D-B522-45F9-BDA1-12C45D357490}">
          <x15:cacheHierarchy aggregatedColumn="26"/>
        </ext>
      </extLst>
    </cacheHierarchy>
    <cacheHierarchy uniqueName="[Measures].[Total Revenue]" caption="Total Revenue" measure="1" displayFolder="" measureGroup="fact_Transactions" count="0"/>
    <cacheHierarchy uniqueName="[Measures].[Core Sales Revenue]" caption="Core Sales Revenue" measure="1" displayFolder="" measureGroup="fact_Transactions" count="0" oneField="1">
      <fieldsUsage count="1">
        <fieldUsage x="1"/>
      </fieldsUsage>
    </cacheHierarchy>
    <cacheHierarchy uniqueName="[Measures].[Non-Core Revenue]" caption="Non-Core Revenue" measure="1" displayFolder="" measureGroup="fact_Transactions" count="0"/>
    <cacheHierarchy uniqueName="[Measures].[Transaction Lines]" caption="Transaction Lines" measure="1" displayFolder="" measureGroup="fact_Transactions" count="0"/>
    <cacheHierarchy uniqueName="[Measures].[Total Orders]" caption="Total Orders" measure="1" displayFolder="" measureGroup="fact_Transactions" count="0"/>
    <cacheHierarchy uniqueName="[Measures].[Core Orders]" caption="Core Orders" measure="1" displayFolder="" measureGroup="fact_Transactions" count="0"/>
    <cacheHierarchy uniqueName="[Measures].[Unique Customers]" caption="Unique Customers" measure="1" displayFolder="" measureGroup="fact_Transactions" count="0"/>
    <cacheHierarchy uniqueName="[Measures].[Average Order Value]" caption="Average Order Value" measure="1" displayFolder="" measureGroup="fact_Transactions" count="0"/>
    <cacheHierarchy uniqueName="[Measures].[Revenue per Customer]" caption="Revenue per Customer" measure="1" displayFolder="" measureGroup="fact_Transactions" count="0"/>
    <cacheHierarchy uniqueName="[Measures].[Core Units Sold]" caption="Core Units Sold" measure="1" displayFolder="" measureGroup="fact_Transactions" count="0"/>
    <cacheHierarchy uniqueName="[Measures].[Products Sold]" caption="Products Sold" measure="1" displayFolder="" measureGroup="fact_Transactions" count="0"/>
    <cacheHierarchy uniqueName="[Measures].[Cancellation Revenue]" caption="Cancellation Revenue" measure="1" displayFolder="" measureGroup="fact_Transactions" count="0"/>
    <cacheHierarchy uniqueName="[Measures].[Previous Year Core Revenue]" caption="Previous Year Core Revenue" measure="1" displayFolder="" measureGroup="fact_Transactions" count="0"/>
    <cacheHierarchy uniqueName="[Measures].[YoY Revenue Change]" caption="YoY Revenue Change" measure="1" displayFolder="" measureGroup="fact_Transactions" count="0"/>
    <cacheHierarchy uniqueName="[Measures].[YoY Revenue Growth %]" caption="YoY Revenue Growth %" measure="1" displayFolder="" measureGroup="fact_Transactions" count="0"/>
    <cacheHierarchy uniqueName="[Measures].[Core Revenue Share %]" caption="Core Revenue Share %" measure="1" displayFolder="" measureGroup="fact_Transactions" count="0"/>
    <cacheHierarchy uniqueName="[Measures].[Previous Month Core Revenue]" caption="Previous Month Core Revenue" measure="1" displayFolder="" measureGroup="fact_Transactions" count="0"/>
    <cacheHierarchy uniqueName="[Measures].[MoM Revenue Growth %]" caption="MoM Revenue Growth %" measure="1" displayFolder="" measureGroup="fact_Transactions" count="0"/>
    <cacheHierarchy uniqueName="[Measures].[__XL_Count fact_Transactions]" caption="__XL_Count fact_Transactions" measure="1" displayFolder="" measureGroup="fact_Transactions"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dim_Customer]" caption="__XL_Count dim_Customer" measure="1" displayFolder="" measureGroup="dim_Customer" count="0" hidden="1"/>
    <cacheHierarchy uniqueName="[Measures].[__XL_Count dim_Country]" caption="__XL_Count dim_Country" measure="1" displayFolder="" measureGroup="dim_Country" count="0" hidden="1"/>
    <cacheHierarchy uniqueName="[Measures].[__No measures defined]" caption="__No measures defined" measure="1" displayFolder="" count="0" hidden="1"/>
  </cacheHierarchies>
  <kpis count="0"/>
  <dimensions count="6">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Transactions" uniqueName="[fact_Transactions]" caption="fact_Transactions"/>
    <dimension measure="1" name="Measures" uniqueName="[Measures]" caption="Measures"/>
  </dimensions>
  <measureGroups count="5">
    <measureGroup name="dim_Country" caption="dim_Country"/>
    <measureGroup name="dim_Customer" caption="dim_Customer"/>
    <measureGroup name="dim_Date" caption="dim_Date"/>
    <measureGroup name="dim_Product" caption="dim_Product"/>
    <measureGroup name="fact_Transactions" caption="fact_Transactions"/>
  </measureGroups>
  <maps count="9">
    <map measureGroup="0" dimension="0"/>
    <map measureGroup="1" dimension="1"/>
    <map measureGroup="2"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ara Pires" refreshedDate="46271.877498842594" createdVersion="5" refreshedVersion="8" minRefreshableVersion="3" recordCount="0" supportSubquery="1" supportAdvancedDrill="1" xr:uid="{448C0723-EA9E-41D8-8495-9B62E37FDA5E}">
  <cacheSource type="external" connectionId="12"/>
  <cacheFields count="3">
    <cacheField name="[dim_Country].[Country].[Country]" caption="Country" numFmtId="0" level="1">
      <sharedItems count="43">
        <s v="Australia"/>
        <s v="Austria"/>
        <s v="Bahrain"/>
        <s v="Belgium"/>
        <s v="Bermuda"/>
        <s v="Brazil"/>
        <s v="Canada"/>
        <s v="Channel Islands"/>
        <s v="Cyprus"/>
        <s v="Czech Republic"/>
        <s v="Denmark"/>
        <s v="European Community"/>
        <s v="Finland"/>
        <s v="France"/>
        <s v="Germany"/>
        <s v="Greece"/>
        <s v="Hong Kong"/>
        <s v="Iceland"/>
        <s v="Ireland"/>
        <s v="Israel"/>
        <s v="Italy"/>
        <s v="Japan"/>
        <s v="Korea"/>
        <s v="Lebanon"/>
        <s v="Lithuania"/>
        <s v="Malta"/>
        <s v="Netherlands"/>
        <s v="Nigeria"/>
        <s v="Norway"/>
        <s v="Poland"/>
        <s v="Portugal"/>
        <s v="RSA"/>
        <s v="Saudi Arabia"/>
        <s v="Singapore"/>
        <s v="Spain"/>
        <s v="Sweden"/>
        <s v="Switzerland"/>
        <s v="Thailand"/>
        <s v="United Arab Emirates"/>
        <s v="United Kingdom"/>
        <s v="Unspecified"/>
        <s v="USA"/>
        <s v="West Indies"/>
      </sharedItems>
    </cacheField>
    <cacheField name="[Measures].[Sum of Revenue]" caption="Sum of Revenue" numFmtId="0" hierarchy="36" level="32767"/>
    <cacheField name="[dim_Date].[Year].[Year]" caption="Year" numFmtId="0" hierarchy="3" level="1">
      <sharedItems containsSemiMixedTypes="0" containsString="0" containsNumber="1" containsInteger="1" minValue="2009" maxValue="2011" count="3">
        <n v="2009"/>
        <n v="2010"/>
        <n v="2011"/>
      </sharedItems>
      <extLst>
        <ext xmlns:x15="http://schemas.microsoft.com/office/spreadsheetml/2010/11/main" uri="{4F2E5C28-24EA-4eb8-9CBF-B6C8F9C3D259}">
          <x15:cachedUniqueNames>
            <x15:cachedUniqueName index="0" name="[dim_Date].[Year].&amp;[2009]"/>
            <x15:cachedUniqueName index="1" name="[dim_Date].[Year].&amp;[2010]"/>
            <x15:cachedUniqueName index="2" name="[dim_Date].[Year].&amp;[2011]"/>
          </x15:cachedUniqueNames>
        </ext>
      </extLst>
    </cacheField>
  </cacheFields>
  <cacheHierarchies count="61">
    <cacheHierarchy uniqueName="[dim_Country].[Country]" caption="Country" attribute="1" defaultMemberUniqueName="[dim_Country].[Country].[All]" allUniqueName="[dim_Country].[Country].[All]" dimensionUniqueName="[dim_Country]" displayFolder="" count="2" memberValueDatatype="130" unbalanced="0">
      <fieldsUsage count="2">
        <fieldUsage x="-1"/>
        <fieldUsage x="0"/>
      </fieldsUsage>
    </cacheHierarchy>
    <cacheHierarchy uniqueName="[dim_Customer].[Customer ID]" caption="Customer ID" attribute="1" defaultMemberUniqueName="[dim_Customer].[Customer ID].[All]" allUniqueName="[dim_Customer].[Customer ID].[All]" dimensionUniqueName="[dim_Customer]" displayFolder="" count="0" memberValueDatatype="130" unbalanced="0"/>
    <cacheHierarchy uniqueName="[dim_Date].[Date]" caption="Date" attribute="1" time="1" keyAttribute="1" defaultMemberUniqueName="[dim_Date].[Date].[All]" allUniqueName="[dim_Date].[Date].[All]" dimensionUniqueName="[dim_Date]" displayFolder="" count="0" memberValueDatatype="7" unbalanced="0"/>
    <cacheHierarchy uniqueName="[dim_Date].[Year]" caption="Year" attribute="1" time="1" defaultMemberUniqueName="[dim_Date].[Year].[All]" allUniqueName="[dim_Date].[Year].[All]" dimensionUniqueName="[dim_Date]" displayFolder="" count="2" memberValueDatatype="20" unbalanced="0">
      <fieldsUsage count="2">
        <fieldUsage x="-1"/>
        <fieldUsage x="2"/>
      </fieldsUsage>
    </cacheHierarchy>
    <cacheHierarchy uniqueName="[dim_Date].[Quarter]" caption="Quarter" attribute="1" time="1" defaultMemberUniqueName="[dim_Date].[Quarter].[All]" allUniqueName="[dim_Date].[Quarter].[All]" dimensionUniqueName="[dim_Date]" displayFolder="" count="0" memberValueDatatype="20" unbalanced="0"/>
    <cacheHierarchy uniqueName="[dim_Date].[MonthNumber]" caption="MonthNumber" attribute="1" time="1" defaultMemberUniqueName="[dim_Date].[MonthNumber].[All]" allUniqueName="[dim_Date].[MonthNumber].[All]" dimensionUniqueName="[dim_Date]" displayFolder="" count="0" memberValueDatatype="20" unbalanced="0"/>
    <cacheHierarchy uniqueName="[dim_Date].[MonthName]" caption="MonthName" attribute="1" time="1" defaultMemberUniqueName="[dim_Date].[MonthName].[All]" allUniqueName="[dim_Date].[MonthName].[All]" dimensionUniqueName="[dim_Date]" displayFolder="" count="0" memberValueDatatype="130" unbalanced="0"/>
    <cacheHierarchy uniqueName="[dim_Date].[Day]" caption="Day" attribute="1" time="1" defaultMemberUniqueName="[dim_Date].[Day].[All]" allUniqueName="[dim_Date].[Day].[All]" dimensionUniqueName="[dim_Date]" displayFolder="" count="0" memberValueDatatype="20" unbalanced="0"/>
    <cacheHierarchy uniqueName="[dim_Date].[DayName]" caption="DayName" attribute="1" time="1" defaultMemberUniqueName="[dim_Date].[DayName].[All]" allUniqueName="[dim_Date].[DayName].[All]" dimensionUniqueName="[dim_Date]" displayFolder="" count="0" memberValueDatatype="130" unbalanced="0"/>
    <cacheHierarchy uniqueName="[dim_Date].[YearMonth]" caption="YearMonth" attribute="1" time="1" defaultMemberUniqueName="[dim_Date].[YearMonth].[All]" allUniqueName="[dim_Date].[YearMonth].[All]" dimensionUniqueName="[dim_Date]" displayFolder="" count="0" memberValueDatatype="130" unbalanced="0"/>
    <cacheHierarchy uniqueName="[dim_Product].[StockCode]" caption="StockCode" attribute="1" defaultMemberUniqueName="[dim_Product].[StockCode].[All]" allUniqueName="[dim_Product].[StockCode].[All]" dimensionUniqueName="[dim_Product]" displayFolder="" count="0" memberValueDatatype="130" unbalanced="0"/>
    <cacheHierarchy uniqueName="[dim_Product].[Description]" caption="Description" attribute="1" defaultMemberUniqueName="[dim_Product].[Description].[All]" allUniqueName="[dim_Product].[Description].[All]" dimensionUniqueName="[dim_Product]" displayFolder="" count="0" memberValueDatatype="130" unbalanced="0"/>
    <cacheHierarchy uniqueName="[dim_Product].[DescriptionCount]" caption="DescriptionCount" attribute="1" defaultMemberUniqueName="[dim_Product].[DescriptionCount].[All]" allUniqueName="[dim_Product].[DescriptionCount].[All]" dimensionUniqueName="[dim_Product]" displayFolder="" count="0" memberValueDatatype="130" unbalanced="0"/>
    <cacheHierarchy uniqueName="[dim_Product].[RecordType]" caption="RecordType" attribute="1" defaultMemberUniqueName="[dim_Product].[RecordType].[All]" allUniqueName="[dim_Product].[RecordType].[All]" dimensionUniqueName="[dim_Product]" displayFolder="" count="0" memberValueDatatype="130" unbalanced="0"/>
    <cacheHierarchy uniqueName="[fact_Transactions].[Invoice]" caption="Invoice" attribute="1" defaultMemberUniqueName="[fact_Transactions].[Invoice].[All]" allUniqueName="[fact_Transactions].[Invoice].[All]" dimensionUniqueName="[fact_Transactions]" displayFolder="" count="0" memberValueDatatype="130" unbalanced="0"/>
    <cacheHierarchy uniqueName="[fact_Transactions].[StockCode]" caption="StockCode" attribute="1" defaultMemberUniqueName="[fact_Transactions].[StockCode].[All]" allUniqueName="[fact_Transactions].[StockCode].[All]" dimensionUniqueName="[fact_Transactions]" displayFolder="" count="0" memberValueDatatype="130" unbalanced="0"/>
    <cacheHierarchy uniqueName="[fact_Transactions].[Description]" caption="Description" attribute="1" defaultMemberUniqueName="[fact_Transactions].[Description].[All]" allUniqueName="[fact_Transactions].[Description].[All]" dimensionUniqueName="[fact_Transactions]" displayFolder="" count="0" memberValueDatatype="130" unbalanced="0"/>
    <cacheHierarchy uniqueName="[fact_Transactions].[Quantity]" caption="Quantity" attribute="1" defaultMemberUniqueName="[fact_Transactions].[Quantity].[All]" allUniqueName="[fact_Transactions].[Quantity].[All]" dimensionUniqueName="[fact_Transactions]" displayFolder="" count="0" memberValueDatatype="20" unbalanced="0"/>
    <cacheHierarchy uniqueName="[fact_Transactions].[InvoiceDate]" caption="InvoiceDate" attribute="1" time="1" defaultMemberUniqueName="[fact_Transactions].[InvoiceDate].[All]" allUniqueName="[fact_Transactions].[InvoiceDate].[All]" dimensionUniqueName="[fact_Transactions]" displayFolder="" count="0" memberValueDatatype="7" unbalanced="0"/>
    <cacheHierarchy uniqueName="[fact_Transactions].[Price]" caption="Price" attribute="1" defaultMemberUniqueName="[fact_Transactions].[Price].[All]" allUniqueName="[fact_Transactions].[Price].[All]" dimensionUniqueName="[fact_Transactions]" displayFolder="" count="0" memberValueDatatype="5" unbalanced="0"/>
    <cacheHierarchy uniqueName="[fact_Transactions].[Customer ID]" caption="Customer ID" attribute="1" defaultMemberUniqueName="[fact_Transactions].[Customer ID].[All]" allUniqueName="[fact_Transactions].[Customer ID].[All]" dimensionUniqueName="[fact_Transactions]" displayFolder="" count="0" memberValueDatatype="130" unbalanced="0"/>
    <cacheHierarchy uniqueName="[fact_Transactions].[Country]" caption="Country" attribute="1" defaultMemberUniqueName="[fact_Transactions].[Country].[All]" allUniqueName="[fact_Transactions].[Country].[All]" dimensionUniqueName="[fact_Transactions]" displayFolder="" count="0" memberValueDatatype="130" unbalanced="0"/>
    <cacheHierarchy uniqueName="[fact_Transactions].[InvoiceType]" caption="InvoiceType" attribute="1" defaultMemberUniqueName="[fact_Transactions].[InvoiceType].[All]" allUniqueName="[fact_Transactions].[InvoiceType].[All]" dimensionUniqueName="[fact_Transactions]" displayFolder="" count="0" memberValueDatatype="130" unbalanced="0"/>
    <cacheHierarchy uniqueName="[fact_Transactions].[QuantityType]" caption="QuantityType" attribute="1" defaultMemberUniqueName="[fact_Transactions].[QuantityType].[All]" allUniqueName="[fact_Transactions].[QuantityType].[All]" dimensionUniqueName="[fact_Transactions]" displayFolder="" count="0" memberValueDatatype="130" unbalanced="0"/>
    <cacheHierarchy uniqueName="[fact_Transactions].[RecordType]" caption="RecordType" attribute="1" defaultMemberUniqueName="[fact_Transactions].[RecordType].[All]" allUniqueName="[fact_Transactions].[RecordType].[All]" dimensionUniqueName="[fact_Transactions]" displayFolder="" count="0" memberValueDatatype="130" unbalanced="0"/>
    <cacheHierarchy uniqueName="[fact_Transactions].[AnalysisStatus]" caption="AnalysisStatus" attribute="1" defaultMemberUniqueName="[fact_Transactions].[AnalysisStatus].[All]" allUniqueName="[fact_Transactions].[AnalysisStatus].[All]" dimensionUniqueName="[fact_Transactions]" displayFolder="" count="0" memberValueDatatype="130" unbalanced="0"/>
    <cacheHierarchy uniqueName="[fact_Transactions].[Revenue]" caption="Revenue" attribute="1" defaultMemberUniqueName="[fact_Transactions].[Revenue].[All]" allUniqueName="[fact_Transactions].[Revenue].[All]" dimensionUniqueName="[fact_Transactions]" displayFolder="" count="0" memberValueDatatype="5" unbalanced="0"/>
    <cacheHierarchy uniqueName="[fact_Transactions].[Year]" caption="Year" attribute="1" defaultMemberUniqueName="[fact_Transactions].[Year].[All]" allUniqueName="[fact_Transactions].[Year].[All]" dimensionUniqueName="[fact_Transactions]" displayFolder="" count="0" memberValueDatatype="20" unbalanced="0"/>
    <cacheHierarchy uniqueName="[fact_Transactions].[Quarter]" caption="Quarter" attribute="1" defaultMemberUniqueName="[fact_Transactions].[Quarter].[All]" allUniqueName="[fact_Transactions].[Quarter].[All]" dimensionUniqueName="[fact_Transactions]" displayFolder="" count="0" memberValueDatatype="20" unbalanced="0"/>
    <cacheHierarchy uniqueName="[fact_Transactions].[Month]" caption="Month" attribute="1" defaultMemberUniqueName="[fact_Transactions].[Month].[All]" allUniqueName="[fact_Transactions].[Month].[All]" dimensionUniqueName="[fact_Transactions]" displayFolder="" count="0" memberValueDatatype="20" unbalanced="0"/>
    <cacheHierarchy uniqueName="[fact_Transactions].[Month Name]" caption="Month Name" attribute="1" defaultMemberUniqueName="[fact_Transactions].[Month Name].[All]" allUniqueName="[fact_Transactions].[Month Name].[All]" dimensionUniqueName="[fact_Transactions]" displayFolder="" count="0" memberValueDatatype="130" unbalanced="0"/>
    <cacheHierarchy uniqueName="[fact_Transactions].[Day Name]" caption="Day Name" attribute="1" defaultMemberUniqueName="[fact_Transactions].[Day Name].[All]" allUniqueName="[fact_Transactions].[Day Name].[All]" dimensionUniqueName="[fact_Transactions]" displayFolder="" count="0" memberValueDatatype="130" unbalanced="0"/>
    <cacheHierarchy uniqueName="[fact_Transactions].[Hour]" caption="Hour" attribute="1" defaultMemberUniqueName="[fact_Transactions].[Hour].[All]" allUniqueName="[fact_Transactions].[Hour].[All]" dimensionUniqueName="[fact_Transactions]" displayFolder="" count="0" memberValueDatatype="20" unbalanced="0"/>
    <cacheHierarchy uniqueName="[fact_Transactions].[YearMonth]" caption="YearMonth" attribute="1" defaultMemberUniqueName="[fact_Transactions].[YearMonth].[All]" allUniqueName="[fact_Transactions].[YearMonth].[All]" dimensionUniqueName="[fact_Transactions]" displayFolder="" count="0" memberValueDatatype="130" unbalanced="0"/>
    <cacheHierarchy uniqueName="[fact_Transactions].[TransactionDate]" caption="TransactionDate" attribute="1" time="1" defaultMemberUniqueName="[fact_Transactions].[TransactionDate].[All]" allUniqueName="[fact_Transactions].[TransactionDate].[All]" dimensionUniqueName="[fact_Transactions]" displayFolder="" count="0" memberValueDatatype="7" unbalanced="0"/>
    <cacheHierarchy uniqueName="[fact_Transactions].[RevenueType]" caption="RevenueType" attribute="1" defaultMemberUniqueName="[fact_Transactions].[RevenueType].[All]" allUniqueName="[fact_Transactions].[RevenueType].[All]" dimensionUniqueName="[fact_Transactions]" displayFolder="" count="0" memberValueDatatype="130" unbalanced="0"/>
    <cacheHierarchy uniqueName="[Measures].[Sum of Revenue]" caption="Sum of Revenue" measure="1" displayFolder="" measureGroup="fact_Transactions" count="0" oneField="1">
      <fieldsUsage count="1">
        <fieldUsage x="1"/>
      </fieldsUsage>
      <extLst>
        <ext xmlns:x15="http://schemas.microsoft.com/office/spreadsheetml/2010/11/main" uri="{B97F6D7D-B522-45F9-BDA1-12C45D357490}">
          <x15:cacheHierarchy aggregatedColumn="26"/>
        </ext>
      </extLst>
    </cacheHierarchy>
    <cacheHierarchy uniqueName="[Measures].[Total Revenue]" caption="Total Revenue" measure="1" displayFolder="" measureGroup="fact_Transactions" count="0"/>
    <cacheHierarchy uniqueName="[Measures].[Core Sales Revenue]" caption="Core Sales Revenue" measure="1" displayFolder="" measureGroup="fact_Transactions" count="0"/>
    <cacheHierarchy uniqueName="[Measures].[Non-Core Revenue]" caption="Non-Core Revenue" measure="1" displayFolder="" measureGroup="fact_Transactions" count="0"/>
    <cacheHierarchy uniqueName="[Measures].[Transaction Lines]" caption="Transaction Lines" measure="1" displayFolder="" measureGroup="fact_Transactions" count="0"/>
    <cacheHierarchy uniqueName="[Measures].[Total Orders]" caption="Total Orders" measure="1" displayFolder="" measureGroup="fact_Transactions" count="0"/>
    <cacheHierarchy uniqueName="[Measures].[Core Orders]" caption="Core Orders" measure="1" displayFolder="" measureGroup="fact_Transactions" count="0"/>
    <cacheHierarchy uniqueName="[Measures].[Unique Customers]" caption="Unique Customers" measure="1" displayFolder="" measureGroup="fact_Transactions" count="0"/>
    <cacheHierarchy uniqueName="[Measures].[Average Order Value]" caption="Average Order Value" measure="1" displayFolder="" measureGroup="fact_Transactions" count="0"/>
    <cacheHierarchy uniqueName="[Measures].[Revenue per Customer]" caption="Revenue per Customer" measure="1" displayFolder="" measureGroup="fact_Transactions" count="0"/>
    <cacheHierarchy uniqueName="[Measures].[Core Units Sold]" caption="Core Units Sold" measure="1" displayFolder="" measureGroup="fact_Transactions" count="0"/>
    <cacheHierarchy uniqueName="[Measures].[Products Sold]" caption="Products Sold" measure="1" displayFolder="" measureGroup="fact_Transactions" count="0"/>
    <cacheHierarchy uniqueName="[Measures].[Cancellation Revenue]" caption="Cancellation Revenue" measure="1" displayFolder="" measureGroup="fact_Transactions" count="0"/>
    <cacheHierarchy uniqueName="[Measures].[Previous Year Core Revenue]" caption="Previous Year Core Revenue" measure="1" displayFolder="" measureGroup="fact_Transactions" count="0"/>
    <cacheHierarchy uniqueName="[Measures].[YoY Revenue Change]" caption="YoY Revenue Change" measure="1" displayFolder="" measureGroup="fact_Transactions" count="0"/>
    <cacheHierarchy uniqueName="[Measures].[YoY Revenue Growth %]" caption="YoY Revenue Growth %" measure="1" displayFolder="" measureGroup="fact_Transactions" count="0"/>
    <cacheHierarchy uniqueName="[Measures].[Core Revenue Share %]" caption="Core Revenue Share %" measure="1" displayFolder="" measureGroup="fact_Transactions" count="0"/>
    <cacheHierarchy uniqueName="[Measures].[Previous Month Core Revenue]" caption="Previous Month Core Revenue" measure="1" displayFolder="" measureGroup="fact_Transactions" count="0"/>
    <cacheHierarchy uniqueName="[Measures].[MoM Revenue Growth %]" caption="MoM Revenue Growth %" measure="1" displayFolder="" measureGroup="fact_Transactions" count="0"/>
    <cacheHierarchy uniqueName="[Measures].[__XL_Count fact_Transactions]" caption="__XL_Count fact_Transactions" measure="1" displayFolder="" measureGroup="fact_Transactions"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dim_Customer]" caption="__XL_Count dim_Customer" measure="1" displayFolder="" measureGroup="dim_Customer" count="0" hidden="1"/>
    <cacheHierarchy uniqueName="[Measures].[__XL_Count dim_Country]" caption="__XL_Count dim_Country" measure="1" displayFolder="" measureGroup="dim_Country" count="0" hidden="1"/>
    <cacheHierarchy uniqueName="[Measures].[__No measures defined]" caption="__No measures defined" measure="1" displayFolder="" count="0" hidden="1"/>
  </cacheHierarchies>
  <kpis count="0"/>
  <dimensions count="6">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Transactions" uniqueName="[fact_Transactions]" caption="fact_Transactions"/>
    <dimension measure="1" name="Measures" uniqueName="[Measures]" caption="Measures"/>
  </dimensions>
  <measureGroups count="5">
    <measureGroup name="dim_Country" caption="dim_Country"/>
    <measureGroup name="dim_Customer" caption="dim_Customer"/>
    <measureGroup name="dim_Date" caption="dim_Date"/>
    <measureGroup name="dim_Product" caption="dim_Product"/>
    <measureGroup name="fact_Transactions" caption="fact_Transactions"/>
  </measureGroups>
  <maps count="9">
    <map measureGroup="0" dimension="0"/>
    <map measureGroup="1" dimension="1"/>
    <map measureGroup="2"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ara Pires" refreshedDate="46271.877504629629" createdVersion="5" refreshedVersion="8" minRefreshableVersion="3" recordCount="0" supportSubquery="1" supportAdvancedDrill="1" xr:uid="{E65088E1-F29E-4681-8A97-B16CEC114CB6}">
  <cacheSource type="external" connectionId="12"/>
  <cacheFields count="8">
    <cacheField name="[dim_Country].[Country].[Country]" caption="Country" numFmtId="0" level="1">
      <sharedItems count="43">
        <s v="Australia"/>
        <s v="Austria"/>
        <s v="Bahrain"/>
        <s v="Belgium"/>
        <s v="Bermuda"/>
        <s v="Brazil"/>
        <s v="Canada"/>
        <s v="Channel Islands"/>
        <s v="Cyprus"/>
        <s v="Czech Republic"/>
        <s v="Denmark"/>
        <s v="European Community"/>
        <s v="Finland"/>
        <s v="France"/>
        <s v="Germany"/>
        <s v="Greece"/>
        <s v="Hong Kong"/>
        <s v="Iceland"/>
        <s v="Ireland"/>
        <s v="Israel"/>
        <s v="Italy"/>
        <s v="Japan"/>
        <s v="Korea"/>
        <s v="Lebanon"/>
        <s v="Lithuania"/>
        <s v="Malta"/>
        <s v="Netherlands"/>
        <s v="Nigeria"/>
        <s v="Norway"/>
        <s v="Poland"/>
        <s v="Portugal"/>
        <s v="RSA"/>
        <s v="Saudi Arabia"/>
        <s v="Singapore"/>
        <s v="Spain"/>
        <s v="Sweden"/>
        <s v="Switzerland"/>
        <s v="Thailand"/>
        <s v="United Arab Emirates"/>
        <s v="United Kingdom"/>
        <s v="Unspecified"/>
        <s v="USA"/>
        <s v="West Indies"/>
      </sharedItems>
    </cacheField>
    <cacheField name="[dim_Date].[Year].[Year]" caption="Year" numFmtId="0" hierarchy="3" level="1">
      <sharedItems containsSemiMixedTypes="0" containsString="0" containsNumber="1" containsInteger="1" minValue="2009" maxValue="2011" count="3">
        <n v="2009"/>
        <n v="2010"/>
        <n v="2011"/>
      </sharedItems>
      <extLst>
        <ext xmlns:x15="http://schemas.microsoft.com/office/spreadsheetml/2010/11/main" uri="{4F2E5C28-24EA-4eb8-9CBF-B6C8F9C3D259}">
          <x15:cachedUniqueNames>
            <x15:cachedUniqueName index="0" name="[dim_Date].[Year].&amp;[2009]"/>
            <x15:cachedUniqueName index="1" name="[dim_Date].[Year].&amp;[2010]"/>
            <x15:cachedUniqueName index="2" name="[dim_Date].[Year].&amp;[2011]"/>
          </x15:cachedUniqueNames>
        </ext>
      </extLst>
    </cacheField>
    <cacheField name="[Measures].[Core Sales Revenue]" caption="Core Sales Revenue" numFmtId="0" hierarchy="38" level="32767"/>
    <cacheField name="[Measures].[Core Orders]" caption="Core Orders" numFmtId="0" hierarchy="42" level="32767"/>
    <cacheField name="[Measures].[Average Order Value]" caption="Average Order Value" numFmtId="0" hierarchy="44" level="32767"/>
    <cacheField name="[Measures].[Previous Year Core Revenue]" caption="Previous Year Core Revenue" numFmtId="0" hierarchy="49" level="32767"/>
    <cacheField name="[Measures].[YoY Revenue Change]" caption="YoY Revenue Change" numFmtId="0" hierarchy="50" level="32767"/>
    <cacheField name="[Measures].[YoY Revenue Growth %]" caption="YoY Revenue Growth %" numFmtId="0" hierarchy="51" level="32767"/>
  </cacheFields>
  <cacheHierarchies count="61">
    <cacheHierarchy uniqueName="[dim_Country].[Country]" caption="Country" attribute="1" defaultMemberUniqueName="[dim_Country].[Country].[All]" allUniqueName="[dim_Country].[Country].[All]" dimensionUniqueName="[dim_Country]" displayFolder="" count="2" memberValueDatatype="130" unbalanced="0">
      <fieldsUsage count="2">
        <fieldUsage x="-1"/>
        <fieldUsage x="0"/>
      </fieldsUsage>
    </cacheHierarchy>
    <cacheHierarchy uniqueName="[dim_Customer].[Customer ID]" caption="Customer ID" attribute="1" defaultMemberUniqueName="[dim_Customer].[Customer ID].[All]" allUniqueName="[dim_Customer].[Customer ID].[All]" dimensionUniqueName="[dim_Customer]" displayFolder="" count="0" memberValueDatatype="130" unbalanced="0"/>
    <cacheHierarchy uniqueName="[dim_Date].[Date]" caption="Date" attribute="1" time="1" keyAttribute="1" defaultMemberUniqueName="[dim_Date].[Date].[All]" allUniqueName="[dim_Date].[Date].[All]" dimensionUniqueName="[dim_Date]" displayFolder="" count="0" memberValueDatatype="7" unbalanced="0"/>
    <cacheHierarchy uniqueName="[dim_Date].[Year]" caption="Year" attribute="1" time="1" defaultMemberUniqueName="[dim_Date].[Year].[All]" allUniqueName="[dim_Date].[Year].[All]" dimensionUniqueName="[dim_Date]" displayFolder="" count="2" memberValueDatatype="20" unbalanced="0">
      <fieldsUsage count="2">
        <fieldUsage x="-1"/>
        <fieldUsage x="1"/>
      </fieldsUsage>
    </cacheHierarchy>
    <cacheHierarchy uniqueName="[dim_Date].[Quarter]" caption="Quarter" attribute="1" time="1" defaultMemberUniqueName="[dim_Date].[Quarter].[All]" allUniqueName="[dim_Date].[Quarter].[All]" dimensionUniqueName="[dim_Date]" displayFolder="" count="0" memberValueDatatype="20" unbalanced="0"/>
    <cacheHierarchy uniqueName="[dim_Date].[MonthNumber]" caption="MonthNumber" attribute="1" time="1" defaultMemberUniqueName="[dim_Date].[MonthNumber].[All]" allUniqueName="[dim_Date].[MonthNumber].[All]" dimensionUniqueName="[dim_Date]" displayFolder="" count="0" memberValueDatatype="20" unbalanced="0"/>
    <cacheHierarchy uniqueName="[dim_Date].[MonthName]" caption="MonthName" attribute="1" time="1" defaultMemberUniqueName="[dim_Date].[MonthName].[All]" allUniqueName="[dim_Date].[MonthName].[All]" dimensionUniqueName="[dim_Date]" displayFolder="" count="0" memberValueDatatype="130" unbalanced="0"/>
    <cacheHierarchy uniqueName="[dim_Date].[Day]" caption="Day" attribute="1" time="1" defaultMemberUniqueName="[dim_Date].[Day].[All]" allUniqueName="[dim_Date].[Day].[All]" dimensionUniqueName="[dim_Date]" displayFolder="" count="0" memberValueDatatype="20" unbalanced="0"/>
    <cacheHierarchy uniqueName="[dim_Date].[DayName]" caption="DayName" attribute="1" time="1" defaultMemberUniqueName="[dim_Date].[DayName].[All]" allUniqueName="[dim_Date].[DayName].[All]" dimensionUniqueName="[dim_Date]" displayFolder="" count="0" memberValueDatatype="130" unbalanced="0"/>
    <cacheHierarchy uniqueName="[dim_Date].[YearMonth]" caption="YearMonth" attribute="1" time="1" defaultMemberUniqueName="[dim_Date].[YearMonth].[All]" allUniqueName="[dim_Date].[YearMonth].[All]" dimensionUniqueName="[dim_Date]" displayFolder="" count="0" memberValueDatatype="130" unbalanced="0"/>
    <cacheHierarchy uniqueName="[dim_Product].[StockCode]" caption="StockCode" attribute="1" defaultMemberUniqueName="[dim_Product].[StockCode].[All]" allUniqueName="[dim_Product].[StockCode].[All]" dimensionUniqueName="[dim_Product]" displayFolder="" count="0" memberValueDatatype="130" unbalanced="0"/>
    <cacheHierarchy uniqueName="[dim_Product].[Description]" caption="Description" attribute="1" defaultMemberUniqueName="[dim_Product].[Description].[All]" allUniqueName="[dim_Product].[Description].[All]" dimensionUniqueName="[dim_Product]" displayFolder="" count="0" memberValueDatatype="130" unbalanced="0"/>
    <cacheHierarchy uniqueName="[dim_Product].[DescriptionCount]" caption="DescriptionCount" attribute="1" defaultMemberUniqueName="[dim_Product].[DescriptionCount].[All]" allUniqueName="[dim_Product].[DescriptionCount].[All]" dimensionUniqueName="[dim_Product]" displayFolder="" count="0" memberValueDatatype="130" unbalanced="0"/>
    <cacheHierarchy uniqueName="[dim_Product].[RecordType]" caption="RecordType" attribute="1" defaultMemberUniqueName="[dim_Product].[RecordType].[All]" allUniqueName="[dim_Product].[RecordType].[All]" dimensionUniqueName="[dim_Product]" displayFolder="" count="0" memberValueDatatype="130" unbalanced="0"/>
    <cacheHierarchy uniqueName="[fact_Transactions].[Invoice]" caption="Invoice" attribute="1" defaultMemberUniqueName="[fact_Transactions].[Invoice].[All]" allUniqueName="[fact_Transactions].[Invoice].[All]" dimensionUniqueName="[fact_Transactions]" displayFolder="" count="0" memberValueDatatype="130" unbalanced="0"/>
    <cacheHierarchy uniqueName="[fact_Transactions].[StockCode]" caption="StockCode" attribute="1" defaultMemberUniqueName="[fact_Transactions].[StockCode].[All]" allUniqueName="[fact_Transactions].[StockCode].[All]" dimensionUniqueName="[fact_Transactions]" displayFolder="" count="0" memberValueDatatype="130" unbalanced="0"/>
    <cacheHierarchy uniqueName="[fact_Transactions].[Description]" caption="Description" attribute="1" defaultMemberUniqueName="[fact_Transactions].[Description].[All]" allUniqueName="[fact_Transactions].[Description].[All]" dimensionUniqueName="[fact_Transactions]" displayFolder="" count="0" memberValueDatatype="130" unbalanced="0"/>
    <cacheHierarchy uniqueName="[fact_Transactions].[Quantity]" caption="Quantity" attribute="1" defaultMemberUniqueName="[fact_Transactions].[Quantity].[All]" allUniqueName="[fact_Transactions].[Quantity].[All]" dimensionUniqueName="[fact_Transactions]" displayFolder="" count="0" memberValueDatatype="20" unbalanced="0"/>
    <cacheHierarchy uniqueName="[fact_Transactions].[InvoiceDate]" caption="InvoiceDate" attribute="1" time="1" defaultMemberUniqueName="[fact_Transactions].[InvoiceDate].[All]" allUniqueName="[fact_Transactions].[InvoiceDate].[All]" dimensionUniqueName="[fact_Transactions]" displayFolder="" count="0" memberValueDatatype="7" unbalanced="0"/>
    <cacheHierarchy uniqueName="[fact_Transactions].[Price]" caption="Price" attribute="1" defaultMemberUniqueName="[fact_Transactions].[Price].[All]" allUniqueName="[fact_Transactions].[Price].[All]" dimensionUniqueName="[fact_Transactions]" displayFolder="" count="0" memberValueDatatype="5" unbalanced="0"/>
    <cacheHierarchy uniqueName="[fact_Transactions].[Customer ID]" caption="Customer ID" attribute="1" defaultMemberUniqueName="[fact_Transactions].[Customer ID].[All]" allUniqueName="[fact_Transactions].[Customer ID].[All]" dimensionUniqueName="[fact_Transactions]" displayFolder="" count="0" memberValueDatatype="130" unbalanced="0"/>
    <cacheHierarchy uniqueName="[fact_Transactions].[Country]" caption="Country" attribute="1" defaultMemberUniqueName="[fact_Transactions].[Country].[All]" allUniqueName="[fact_Transactions].[Country].[All]" dimensionUniqueName="[fact_Transactions]" displayFolder="" count="0" memberValueDatatype="130" unbalanced="0"/>
    <cacheHierarchy uniqueName="[fact_Transactions].[InvoiceType]" caption="InvoiceType" attribute="1" defaultMemberUniqueName="[fact_Transactions].[InvoiceType].[All]" allUniqueName="[fact_Transactions].[InvoiceType].[All]" dimensionUniqueName="[fact_Transactions]" displayFolder="" count="0" memberValueDatatype="130" unbalanced="0"/>
    <cacheHierarchy uniqueName="[fact_Transactions].[QuantityType]" caption="QuantityType" attribute="1" defaultMemberUniqueName="[fact_Transactions].[QuantityType].[All]" allUniqueName="[fact_Transactions].[QuantityType].[All]" dimensionUniqueName="[fact_Transactions]" displayFolder="" count="0" memberValueDatatype="130" unbalanced="0"/>
    <cacheHierarchy uniqueName="[fact_Transactions].[RecordType]" caption="RecordType" attribute="1" defaultMemberUniqueName="[fact_Transactions].[RecordType].[All]" allUniqueName="[fact_Transactions].[RecordType].[All]" dimensionUniqueName="[fact_Transactions]" displayFolder="" count="0" memberValueDatatype="130" unbalanced="0"/>
    <cacheHierarchy uniqueName="[fact_Transactions].[AnalysisStatus]" caption="AnalysisStatus" attribute="1" defaultMemberUniqueName="[fact_Transactions].[AnalysisStatus].[All]" allUniqueName="[fact_Transactions].[AnalysisStatus].[All]" dimensionUniqueName="[fact_Transactions]" displayFolder="" count="0" memberValueDatatype="130" unbalanced="0"/>
    <cacheHierarchy uniqueName="[fact_Transactions].[Revenue]" caption="Revenue" attribute="1" defaultMemberUniqueName="[fact_Transactions].[Revenue].[All]" allUniqueName="[fact_Transactions].[Revenue].[All]" dimensionUniqueName="[fact_Transactions]" displayFolder="" count="0" memberValueDatatype="5" unbalanced="0"/>
    <cacheHierarchy uniqueName="[fact_Transactions].[Year]" caption="Year" attribute="1" defaultMemberUniqueName="[fact_Transactions].[Year].[All]" allUniqueName="[fact_Transactions].[Year].[All]" dimensionUniqueName="[fact_Transactions]" displayFolder="" count="0" memberValueDatatype="20" unbalanced="0"/>
    <cacheHierarchy uniqueName="[fact_Transactions].[Quarter]" caption="Quarter" attribute="1" defaultMemberUniqueName="[fact_Transactions].[Quarter].[All]" allUniqueName="[fact_Transactions].[Quarter].[All]" dimensionUniqueName="[fact_Transactions]" displayFolder="" count="0" memberValueDatatype="20" unbalanced="0"/>
    <cacheHierarchy uniqueName="[fact_Transactions].[Month]" caption="Month" attribute="1" defaultMemberUniqueName="[fact_Transactions].[Month].[All]" allUniqueName="[fact_Transactions].[Month].[All]" dimensionUniqueName="[fact_Transactions]" displayFolder="" count="0" memberValueDatatype="20" unbalanced="0"/>
    <cacheHierarchy uniqueName="[fact_Transactions].[Month Name]" caption="Month Name" attribute="1" defaultMemberUniqueName="[fact_Transactions].[Month Name].[All]" allUniqueName="[fact_Transactions].[Month Name].[All]" dimensionUniqueName="[fact_Transactions]" displayFolder="" count="0" memberValueDatatype="130" unbalanced="0"/>
    <cacheHierarchy uniqueName="[fact_Transactions].[Day Name]" caption="Day Name" attribute="1" defaultMemberUniqueName="[fact_Transactions].[Day Name].[All]" allUniqueName="[fact_Transactions].[Day Name].[All]" dimensionUniqueName="[fact_Transactions]" displayFolder="" count="0" memberValueDatatype="130" unbalanced="0"/>
    <cacheHierarchy uniqueName="[fact_Transactions].[Hour]" caption="Hour" attribute="1" defaultMemberUniqueName="[fact_Transactions].[Hour].[All]" allUniqueName="[fact_Transactions].[Hour].[All]" dimensionUniqueName="[fact_Transactions]" displayFolder="" count="0" memberValueDatatype="20" unbalanced="0"/>
    <cacheHierarchy uniqueName="[fact_Transactions].[YearMonth]" caption="YearMonth" attribute="1" defaultMemberUniqueName="[fact_Transactions].[YearMonth].[All]" allUniqueName="[fact_Transactions].[YearMonth].[All]" dimensionUniqueName="[fact_Transactions]" displayFolder="" count="0" memberValueDatatype="130" unbalanced="0"/>
    <cacheHierarchy uniqueName="[fact_Transactions].[TransactionDate]" caption="TransactionDate" attribute="1" time="1" defaultMemberUniqueName="[fact_Transactions].[TransactionDate].[All]" allUniqueName="[fact_Transactions].[TransactionDate].[All]" dimensionUniqueName="[fact_Transactions]" displayFolder="" count="0" memberValueDatatype="7" unbalanced="0"/>
    <cacheHierarchy uniqueName="[fact_Transactions].[RevenueType]" caption="RevenueType" attribute="1" defaultMemberUniqueName="[fact_Transactions].[RevenueType].[All]" allUniqueName="[fact_Transactions].[RevenueType].[All]" dimensionUniqueName="[fact_Transactions]" displayFolder="" count="0" memberValueDatatype="130" unbalanced="0"/>
    <cacheHierarchy uniqueName="[Measures].[Sum of Revenue]" caption="Sum of Revenue" measure="1" displayFolder="" measureGroup="fact_Transactions" count="0">
      <extLst>
        <ext xmlns:x15="http://schemas.microsoft.com/office/spreadsheetml/2010/11/main" uri="{B97F6D7D-B522-45F9-BDA1-12C45D357490}">
          <x15:cacheHierarchy aggregatedColumn="26"/>
        </ext>
      </extLst>
    </cacheHierarchy>
    <cacheHierarchy uniqueName="[Measures].[Total Revenue]" caption="Total Revenue" measure="1" displayFolder="" measureGroup="fact_Transactions" count="0"/>
    <cacheHierarchy uniqueName="[Measures].[Core Sales Revenue]" caption="Core Sales Revenue" measure="1" displayFolder="" measureGroup="fact_Transactions" count="0" oneField="1">
      <fieldsUsage count="1">
        <fieldUsage x="2"/>
      </fieldsUsage>
    </cacheHierarchy>
    <cacheHierarchy uniqueName="[Measures].[Non-Core Revenue]" caption="Non-Core Revenue" measure="1" displayFolder="" measureGroup="fact_Transactions" count="0"/>
    <cacheHierarchy uniqueName="[Measures].[Transaction Lines]" caption="Transaction Lines" measure="1" displayFolder="" measureGroup="fact_Transactions" count="0"/>
    <cacheHierarchy uniqueName="[Measures].[Total Orders]" caption="Total Orders" measure="1" displayFolder="" measureGroup="fact_Transactions" count="0"/>
    <cacheHierarchy uniqueName="[Measures].[Core Orders]" caption="Core Orders" measure="1" displayFolder="" measureGroup="fact_Transactions" count="0" oneField="1">
      <fieldsUsage count="1">
        <fieldUsage x="3"/>
      </fieldsUsage>
    </cacheHierarchy>
    <cacheHierarchy uniqueName="[Measures].[Unique Customers]" caption="Unique Customers" measure="1" displayFolder="" measureGroup="fact_Transactions" count="0"/>
    <cacheHierarchy uniqueName="[Measures].[Average Order Value]" caption="Average Order Value" measure="1" displayFolder="" measureGroup="fact_Transactions" count="0" oneField="1">
      <fieldsUsage count="1">
        <fieldUsage x="4"/>
      </fieldsUsage>
    </cacheHierarchy>
    <cacheHierarchy uniqueName="[Measures].[Revenue per Customer]" caption="Revenue per Customer" measure="1" displayFolder="" measureGroup="fact_Transactions" count="0"/>
    <cacheHierarchy uniqueName="[Measures].[Core Units Sold]" caption="Core Units Sold" measure="1" displayFolder="" measureGroup="fact_Transactions" count="0"/>
    <cacheHierarchy uniqueName="[Measures].[Products Sold]" caption="Products Sold" measure="1" displayFolder="" measureGroup="fact_Transactions" count="0"/>
    <cacheHierarchy uniqueName="[Measures].[Cancellation Revenue]" caption="Cancellation Revenue" measure="1" displayFolder="" measureGroup="fact_Transactions" count="0"/>
    <cacheHierarchy uniqueName="[Measures].[Previous Year Core Revenue]" caption="Previous Year Core Revenue" measure="1" displayFolder="" measureGroup="fact_Transactions" count="0" oneField="1">
      <fieldsUsage count="1">
        <fieldUsage x="5"/>
      </fieldsUsage>
    </cacheHierarchy>
    <cacheHierarchy uniqueName="[Measures].[YoY Revenue Change]" caption="YoY Revenue Change" measure="1" displayFolder="" measureGroup="fact_Transactions" count="0" oneField="1">
      <fieldsUsage count="1">
        <fieldUsage x="6"/>
      </fieldsUsage>
    </cacheHierarchy>
    <cacheHierarchy uniqueName="[Measures].[YoY Revenue Growth %]" caption="YoY Revenue Growth %" measure="1" displayFolder="" measureGroup="fact_Transactions" count="0" oneField="1">
      <fieldsUsage count="1">
        <fieldUsage x="7"/>
      </fieldsUsage>
    </cacheHierarchy>
    <cacheHierarchy uniqueName="[Measures].[Core Revenue Share %]" caption="Core Revenue Share %" measure="1" displayFolder="" measureGroup="fact_Transactions" count="0"/>
    <cacheHierarchy uniqueName="[Measures].[Previous Month Core Revenue]" caption="Previous Month Core Revenue" measure="1" displayFolder="" measureGroup="fact_Transactions" count="0"/>
    <cacheHierarchy uniqueName="[Measures].[MoM Revenue Growth %]" caption="MoM Revenue Growth %" measure="1" displayFolder="" measureGroup="fact_Transactions" count="0"/>
    <cacheHierarchy uniqueName="[Measures].[__XL_Count fact_Transactions]" caption="__XL_Count fact_Transactions" measure="1" displayFolder="" measureGroup="fact_Transactions"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dim_Customer]" caption="__XL_Count dim_Customer" measure="1" displayFolder="" measureGroup="dim_Customer" count="0" hidden="1"/>
    <cacheHierarchy uniqueName="[Measures].[__XL_Count dim_Country]" caption="__XL_Count dim_Country" measure="1" displayFolder="" measureGroup="dim_Country" count="0" hidden="1"/>
    <cacheHierarchy uniqueName="[Measures].[__No measures defined]" caption="__No measures defined" measure="1" displayFolder="" count="0" hidden="1"/>
  </cacheHierarchies>
  <kpis count="0"/>
  <dimensions count="6">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Transactions" uniqueName="[fact_Transactions]" caption="fact_Transactions"/>
    <dimension measure="1" name="Measures" uniqueName="[Measures]" caption="Measures"/>
  </dimensions>
  <measureGroups count="5">
    <measureGroup name="dim_Country" caption="dim_Country"/>
    <measureGroup name="dim_Customer" caption="dim_Customer"/>
    <measureGroup name="dim_Date" caption="dim_Date"/>
    <measureGroup name="dim_Product" caption="dim_Product"/>
    <measureGroup name="fact_Transactions" caption="fact_Transactions"/>
  </measureGroups>
  <maps count="9">
    <map measureGroup="0" dimension="0"/>
    <map measureGroup="1" dimension="1"/>
    <map measureGroup="2"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ara Pires" refreshedDate="46271.877508680554" createdVersion="5" refreshedVersion="8" minRefreshableVersion="3" recordCount="0" supportSubquery="1" supportAdvancedDrill="1" xr:uid="{B39E02D2-2146-42F4-947C-D348B60E5EEB}">
  <cacheSource type="external" connectionId="12"/>
  <cacheFields count="11">
    <cacheField name="[dim_Date].[Year].[Year]" caption="Year" numFmtId="0" hierarchy="3" level="1">
      <sharedItems containsSemiMixedTypes="0" containsString="0" containsNumber="1" containsInteger="1" minValue="2009" maxValue="2011" count="3">
        <n v="2009"/>
        <n v="2010"/>
        <n v="2011"/>
      </sharedItems>
      <extLst>
        <ext xmlns:x15="http://schemas.microsoft.com/office/spreadsheetml/2010/11/main" uri="{4F2E5C28-24EA-4eb8-9CBF-B6C8F9C3D259}">
          <x15:cachedUniqueNames>
            <x15:cachedUniqueName index="0" name="[dim_Date].[Year].&amp;[2009]"/>
            <x15:cachedUniqueName index="1" name="[dim_Date].[Year].&amp;[2010]"/>
            <x15:cachedUniqueName index="2" name="[dim_Date].[Year].&amp;[2011]"/>
          </x15:cachedUniqueNames>
        </ext>
      </extLst>
    </cacheField>
    <cacheField name="[Measures].[Core Sales Revenue]" caption="Core Sales Revenue" numFmtId="0" hierarchy="38" level="32767"/>
    <cacheField name="[Measures].[Core Orders]" caption="Core Orders" numFmtId="0" hierarchy="42" level="32767"/>
    <cacheField name="[Measures].[Average Order Value]" caption="Average Order Value" numFmtId="0" hierarchy="44" level="32767"/>
    <cacheField name="[Measures].[Unique Customers]" caption="Unique Customers" numFmtId="0" hierarchy="43" level="32767"/>
    <cacheField name="[Measures].[Core Units Sold]" caption="Core Units Sold" numFmtId="0" hierarchy="46" level="32767"/>
    <cacheField name="[Measures].[Products Sold]" caption="Products Sold" numFmtId="0" hierarchy="47" level="32767"/>
    <cacheField name="[Measures].[Previous Year Core Revenue]" caption="Previous Year Core Revenue" numFmtId="0" hierarchy="49" level="32767"/>
    <cacheField name="[Measures].[YoY Revenue Change]" caption="YoY Revenue Change" numFmtId="0" hierarchy="50" level="32767"/>
    <cacheField name="[Measures].[YoY Revenue Growth %]" caption="YoY Revenue Growth %" numFmtId="0" hierarchy="51" level="32767"/>
    <cacheField name="[Measures].[Core Revenue Share %]" caption="Core Revenue Share %" numFmtId="0" hierarchy="52" level="32767"/>
  </cacheFields>
  <cacheHierarchies count="61">
    <cacheHierarchy uniqueName="[dim_Country].[Country]" caption="Country" attribute="1" defaultMemberUniqueName="[dim_Country].[Country].[All]" allUniqueName="[dim_Country].[Country].[All]" dimensionUniqueName="[dim_Country]" displayFolder="" count="0" memberValueDatatype="130" unbalanced="0"/>
    <cacheHierarchy uniqueName="[dim_Customer].[Customer ID]" caption="Customer ID" attribute="1" defaultMemberUniqueName="[dim_Customer].[Customer ID].[All]" allUniqueName="[dim_Customer].[Customer ID].[All]" dimensionUniqueName="[dim_Customer]" displayFolder="" count="0" memberValueDatatype="130" unbalanced="0"/>
    <cacheHierarchy uniqueName="[dim_Date].[Date]" caption="Date" attribute="1" time="1" keyAttribute="1" defaultMemberUniqueName="[dim_Date].[Date].[All]" allUniqueName="[dim_Date].[Date].[All]" dimensionUniqueName="[dim_Date]" displayFolder="" count="0" memberValueDatatype="7" unbalanced="0"/>
    <cacheHierarchy uniqueName="[dim_Date].[Year]" caption="Year" attribute="1" time="1" defaultMemberUniqueName="[dim_Date].[Year].[All]" allUniqueName="[dim_Date].[Year].[All]" dimensionUniqueName="[dim_Date]" displayFolder="" count="2" memberValueDatatype="20" unbalanced="0">
      <fieldsUsage count="2">
        <fieldUsage x="-1"/>
        <fieldUsage x="0"/>
      </fieldsUsage>
    </cacheHierarchy>
    <cacheHierarchy uniqueName="[dim_Date].[Quarter]" caption="Quarter" attribute="1" time="1" defaultMemberUniqueName="[dim_Date].[Quarter].[All]" allUniqueName="[dim_Date].[Quarter].[All]" dimensionUniqueName="[dim_Date]" displayFolder="" count="0" memberValueDatatype="20" unbalanced="0"/>
    <cacheHierarchy uniqueName="[dim_Date].[MonthNumber]" caption="MonthNumber" attribute="1" time="1" defaultMemberUniqueName="[dim_Date].[MonthNumber].[All]" allUniqueName="[dim_Date].[MonthNumber].[All]" dimensionUniqueName="[dim_Date]" displayFolder="" count="0" memberValueDatatype="20" unbalanced="0"/>
    <cacheHierarchy uniqueName="[dim_Date].[MonthName]" caption="MonthName" attribute="1" time="1" defaultMemberUniqueName="[dim_Date].[MonthName].[All]" allUniqueName="[dim_Date].[MonthName].[All]" dimensionUniqueName="[dim_Date]" displayFolder="" count="0" memberValueDatatype="130" unbalanced="0"/>
    <cacheHierarchy uniqueName="[dim_Date].[Day]" caption="Day" attribute="1" time="1" defaultMemberUniqueName="[dim_Date].[Day].[All]" allUniqueName="[dim_Date].[Day].[All]" dimensionUniqueName="[dim_Date]" displayFolder="" count="0" memberValueDatatype="20" unbalanced="0"/>
    <cacheHierarchy uniqueName="[dim_Date].[DayName]" caption="DayName" attribute="1" time="1" defaultMemberUniqueName="[dim_Date].[DayName].[All]" allUniqueName="[dim_Date].[DayName].[All]" dimensionUniqueName="[dim_Date]" displayFolder="" count="0" memberValueDatatype="130" unbalanced="0"/>
    <cacheHierarchy uniqueName="[dim_Date].[YearMonth]" caption="YearMonth" attribute="1" time="1" defaultMemberUniqueName="[dim_Date].[YearMonth].[All]" allUniqueName="[dim_Date].[YearMonth].[All]" dimensionUniqueName="[dim_Date]" displayFolder="" count="0" memberValueDatatype="130" unbalanced="0"/>
    <cacheHierarchy uniqueName="[dim_Product].[StockCode]" caption="StockCode" attribute="1" defaultMemberUniqueName="[dim_Product].[StockCode].[All]" allUniqueName="[dim_Product].[StockCode].[All]" dimensionUniqueName="[dim_Product]" displayFolder="" count="0" memberValueDatatype="130" unbalanced="0"/>
    <cacheHierarchy uniqueName="[dim_Product].[Description]" caption="Description" attribute="1" defaultMemberUniqueName="[dim_Product].[Description].[All]" allUniqueName="[dim_Product].[Description].[All]" dimensionUniqueName="[dim_Product]" displayFolder="" count="0" memberValueDatatype="130" unbalanced="0"/>
    <cacheHierarchy uniqueName="[dim_Product].[DescriptionCount]" caption="DescriptionCount" attribute="1" defaultMemberUniqueName="[dim_Product].[DescriptionCount].[All]" allUniqueName="[dim_Product].[DescriptionCount].[All]" dimensionUniqueName="[dim_Product]" displayFolder="" count="0" memberValueDatatype="130" unbalanced="0"/>
    <cacheHierarchy uniqueName="[dim_Product].[RecordType]" caption="RecordType" attribute="1" defaultMemberUniqueName="[dim_Product].[RecordType].[All]" allUniqueName="[dim_Product].[RecordType].[All]" dimensionUniqueName="[dim_Product]" displayFolder="" count="0" memberValueDatatype="130" unbalanced="0"/>
    <cacheHierarchy uniqueName="[fact_Transactions].[Invoice]" caption="Invoice" attribute="1" defaultMemberUniqueName="[fact_Transactions].[Invoice].[All]" allUniqueName="[fact_Transactions].[Invoice].[All]" dimensionUniqueName="[fact_Transactions]" displayFolder="" count="0" memberValueDatatype="130" unbalanced="0"/>
    <cacheHierarchy uniqueName="[fact_Transactions].[StockCode]" caption="StockCode" attribute="1" defaultMemberUniqueName="[fact_Transactions].[StockCode].[All]" allUniqueName="[fact_Transactions].[StockCode].[All]" dimensionUniqueName="[fact_Transactions]" displayFolder="" count="0" memberValueDatatype="130" unbalanced="0"/>
    <cacheHierarchy uniqueName="[fact_Transactions].[Description]" caption="Description" attribute="1" defaultMemberUniqueName="[fact_Transactions].[Description].[All]" allUniqueName="[fact_Transactions].[Description].[All]" dimensionUniqueName="[fact_Transactions]" displayFolder="" count="0" memberValueDatatype="130" unbalanced="0"/>
    <cacheHierarchy uniqueName="[fact_Transactions].[Quantity]" caption="Quantity" attribute="1" defaultMemberUniqueName="[fact_Transactions].[Quantity].[All]" allUniqueName="[fact_Transactions].[Quantity].[All]" dimensionUniqueName="[fact_Transactions]" displayFolder="" count="0" memberValueDatatype="20" unbalanced="0"/>
    <cacheHierarchy uniqueName="[fact_Transactions].[InvoiceDate]" caption="InvoiceDate" attribute="1" time="1" defaultMemberUniqueName="[fact_Transactions].[InvoiceDate].[All]" allUniqueName="[fact_Transactions].[InvoiceDate].[All]" dimensionUniqueName="[fact_Transactions]" displayFolder="" count="0" memberValueDatatype="7" unbalanced="0"/>
    <cacheHierarchy uniqueName="[fact_Transactions].[Price]" caption="Price" attribute="1" defaultMemberUniqueName="[fact_Transactions].[Price].[All]" allUniqueName="[fact_Transactions].[Price].[All]" dimensionUniqueName="[fact_Transactions]" displayFolder="" count="0" memberValueDatatype="5" unbalanced="0"/>
    <cacheHierarchy uniqueName="[fact_Transactions].[Customer ID]" caption="Customer ID" attribute="1" defaultMemberUniqueName="[fact_Transactions].[Customer ID].[All]" allUniqueName="[fact_Transactions].[Customer ID].[All]" dimensionUniqueName="[fact_Transactions]" displayFolder="" count="0" memberValueDatatype="130" unbalanced="0"/>
    <cacheHierarchy uniqueName="[fact_Transactions].[Country]" caption="Country" attribute="1" defaultMemberUniqueName="[fact_Transactions].[Country].[All]" allUniqueName="[fact_Transactions].[Country].[All]" dimensionUniqueName="[fact_Transactions]" displayFolder="" count="0" memberValueDatatype="130" unbalanced="0"/>
    <cacheHierarchy uniqueName="[fact_Transactions].[InvoiceType]" caption="InvoiceType" attribute="1" defaultMemberUniqueName="[fact_Transactions].[InvoiceType].[All]" allUniqueName="[fact_Transactions].[InvoiceType].[All]" dimensionUniqueName="[fact_Transactions]" displayFolder="" count="0" memberValueDatatype="130" unbalanced="0"/>
    <cacheHierarchy uniqueName="[fact_Transactions].[QuantityType]" caption="QuantityType" attribute="1" defaultMemberUniqueName="[fact_Transactions].[QuantityType].[All]" allUniqueName="[fact_Transactions].[QuantityType].[All]" dimensionUniqueName="[fact_Transactions]" displayFolder="" count="0" memberValueDatatype="130" unbalanced="0"/>
    <cacheHierarchy uniqueName="[fact_Transactions].[RecordType]" caption="RecordType" attribute="1" defaultMemberUniqueName="[fact_Transactions].[RecordType].[All]" allUniqueName="[fact_Transactions].[RecordType].[All]" dimensionUniqueName="[fact_Transactions]" displayFolder="" count="0" memberValueDatatype="130" unbalanced="0"/>
    <cacheHierarchy uniqueName="[fact_Transactions].[AnalysisStatus]" caption="AnalysisStatus" attribute="1" defaultMemberUniqueName="[fact_Transactions].[AnalysisStatus].[All]" allUniqueName="[fact_Transactions].[AnalysisStatus].[All]" dimensionUniqueName="[fact_Transactions]" displayFolder="" count="0" memberValueDatatype="130" unbalanced="0"/>
    <cacheHierarchy uniqueName="[fact_Transactions].[Revenue]" caption="Revenue" attribute="1" defaultMemberUniqueName="[fact_Transactions].[Revenue].[All]" allUniqueName="[fact_Transactions].[Revenue].[All]" dimensionUniqueName="[fact_Transactions]" displayFolder="" count="0" memberValueDatatype="5" unbalanced="0"/>
    <cacheHierarchy uniqueName="[fact_Transactions].[Year]" caption="Year" attribute="1" defaultMemberUniqueName="[fact_Transactions].[Year].[All]" allUniqueName="[fact_Transactions].[Year].[All]" dimensionUniqueName="[fact_Transactions]" displayFolder="" count="0" memberValueDatatype="20" unbalanced="0"/>
    <cacheHierarchy uniqueName="[fact_Transactions].[Quarter]" caption="Quarter" attribute="1" defaultMemberUniqueName="[fact_Transactions].[Quarter].[All]" allUniqueName="[fact_Transactions].[Quarter].[All]" dimensionUniqueName="[fact_Transactions]" displayFolder="" count="0" memberValueDatatype="20" unbalanced="0"/>
    <cacheHierarchy uniqueName="[fact_Transactions].[Month]" caption="Month" attribute="1" defaultMemberUniqueName="[fact_Transactions].[Month].[All]" allUniqueName="[fact_Transactions].[Month].[All]" dimensionUniqueName="[fact_Transactions]" displayFolder="" count="0" memberValueDatatype="20" unbalanced="0"/>
    <cacheHierarchy uniqueName="[fact_Transactions].[Month Name]" caption="Month Name" attribute="1" defaultMemberUniqueName="[fact_Transactions].[Month Name].[All]" allUniqueName="[fact_Transactions].[Month Name].[All]" dimensionUniqueName="[fact_Transactions]" displayFolder="" count="0" memberValueDatatype="130" unbalanced="0"/>
    <cacheHierarchy uniqueName="[fact_Transactions].[Day Name]" caption="Day Name" attribute="1" defaultMemberUniqueName="[fact_Transactions].[Day Name].[All]" allUniqueName="[fact_Transactions].[Day Name].[All]" dimensionUniqueName="[fact_Transactions]" displayFolder="" count="0" memberValueDatatype="130" unbalanced="0"/>
    <cacheHierarchy uniqueName="[fact_Transactions].[Hour]" caption="Hour" attribute="1" defaultMemberUniqueName="[fact_Transactions].[Hour].[All]" allUniqueName="[fact_Transactions].[Hour].[All]" dimensionUniqueName="[fact_Transactions]" displayFolder="" count="0" memberValueDatatype="20" unbalanced="0"/>
    <cacheHierarchy uniqueName="[fact_Transactions].[YearMonth]" caption="YearMonth" attribute="1" defaultMemberUniqueName="[fact_Transactions].[YearMonth].[All]" allUniqueName="[fact_Transactions].[YearMonth].[All]" dimensionUniqueName="[fact_Transactions]" displayFolder="" count="0" memberValueDatatype="130" unbalanced="0"/>
    <cacheHierarchy uniqueName="[fact_Transactions].[TransactionDate]" caption="TransactionDate" attribute="1" time="1" defaultMemberUniqueName="[fact_Transactions].[TransactionDate].[All]" allUniqueName="[fact_Transactions].[TransactionDate].[All]" dimensionUniqueName="[fact_Transactions]" displayFolder="" count="0" memberValueDatatype="7" unbalanced="0"/>
    <cacheHierarchy uniqueName="[fact_Transactions].[RevenueType]" caption="RevenueType" attribute="1" defaultMemberUniqueName="[fact_Transactions].[RevenueType].[All]" allUniqueName="[fact_Transactions].[RevenueType].[All]" dimensionUniqueName="[fact_Transactions]" displayFolder="" count="0" memberValueDatatype="130" unbalanced="0"/>
    <cacheHierarchy uniqueName="[Measures].[Sum of Revenue]" caption="Sum of Revenue" measure="1" displayFolder="" measureGroup="fact_Transactions" count="0">
      <extLst>
        <ext xmlns:x15="http://schemas.microsoft.com/office/spreadsheetml/2010/11/main" uri="{B97F6D7D-B522-45F9-BDA1-12C45D357490}">
          <x15:cacheHierarchy aggregatedColumn="26"/>
        </ext>
      </extLst>
    </cacheHierarchy>
    <cacheHierarchy uniqueName="[Measures].[Total Revenue]" caption="Total Revenue" measure="1" displayFolder="" measureGroup="fact_Transactions" count="0"/>
    <cacheHierarchy uniqueName="[Measures].[Core Sales Revenue]" caption="Core Sales Revenue" measure="1" displayFolder="" measureGroup="fact_Transactions" count="0" oneField="1">
      <fieldsUsage count="1">
        <fieldUsage x="1"/>
      </fieldsUsage>
    </cacheHierarchy>
    <cacheHierarchy uniqueName="[Measures].[Non-Core Revenue]" caption="Non-Core Revenue" measure="1" displayFolder="" measureGroup="fact_Transactions" count="0"/>
    <cacheHierarchy uniqueName="[Measures].[Transaction Lines]" caption="Transaction Lines" measure="1" displayFolder="" measureGroup="fact_Transactions" count="0"/>
    <cacheHierarchy uniqueName="[Measures].[Total Orders]" caption="Total Orders" measure="1" displayFolder="" measureGroup="fact_Transactions" count="0"/>
    <cacheHierarchy uniqueName="[Measures].[Core Orders]" caption="Core Orders" measure="1" displayFolder="" measureGroup="fact_Transactions" count="0" oneField="1">
      <fieldsUsage count="1">
        <fieldUsage x="2"/>
      </fieldsUsage>
    </cacheHierarchy>
    <cacheHierarchy uniqueName="[Measures].[Unique Customers]" caption="Unique Customers" measure="1" displayFolder="" measureGroup="fact_Transactions" count="0" oneField="1">
      <fieldsUsage count="1">
        <fieldUsage x="4"/>
      </fieldsUsage>
    </cacheHierarchy>
    <cacheHierarchy uniqueName="[Measures].[Average Order Value]" caption="Average Order Value" measure="1" displayFolder="" measureGroup="fact_Transactions" count="0" oneField="1">
      <fieldsUsage count="1">
        <fieldUsage x="3"/>
      </fieldsUsage>
    </cacheHierarchy>
    <cacheHierarchy uniqueName="[Measures].[Revenue per Customer]" caption="Revenue per Customer" measure="1" displayFolder="" measureGroup="fact_Transactions" count="0"/>
    <cacheHierarchy uniqueName="[Measures].[Core Units Sold]" caption="Core Units Sold" measure="1" displayFolder="" measureGroup="fact_Transactions" count="0" oneField="1">
      <fieldsUsage count="1">
        <fieldUsage x="5"/>
      </fieldsUsage>
    </cacheHierarchy>
    <cacheHierarchy uniqueName="[Measures].[Products Sold]" caption="Products Sold" measure="1" displayFolder="" measureGroup="fact_Transactions" count="0" oneField="1">
      <fieldsUsage count="1">
        <fieldUsage x="6"/>
      </fieldsUsage>
    </cacheHierarchy>
    <cacheHierarchy uniqueName="[Measures].[Cancellation Revenue]" caption="Cancellation Revenue" measure="1" displayFolder="" measureGroup="fact_Transactions" count="0"/>
    <cacheHierarchy uniqueName="[Measures].[Previous Year Core Revenue]" caption="Previous Year Core Revenue" measure="1" displayFolder="" measureGroup="fact_Transactions" count="0" oneField="1">
      <fieldsUsage count="1">
        <fieldUsage x="7"/>
      </fieldsUsage>
    </cacheHierarchy>
    <cacheHierarchy uniqueName="[Measures].[YoY Revenue Change]" caption="YoY Revenue Change" measure="1" displayFolder="" measureGroup="fact_Transactions" count="0" oneField="1">
      <fieldsUsage count="1">
        <fieldUsage x="8"/>
      </fieldsUsage>
    </cacheHierarchy>
    <cacheHierarchy uniqueName="[Measures].[YoY Revenue Growth %]" caption="YoY Revenue Growth %" measure="1" displayFolder="" measureGroup="fact_Transactions" count="0" oneField="1">
      <fieldsUsage count="1">
        <fieldUsage x="9"/>
      </fieldsUsage>
    </cacheHierarchy>
    <cacheHierarchy uniqueName="[Measures].[Core Revenue Share %]" caption="Core Revenue Share %" measure="1" displayFolder="" measureGroup="fact_Transactions" count="0" oneField="1">
      <fieldsUsage count="1">
        <fieldUsage x="10"/>
      </fieldsUsage>
    </cacheHierarchy>
    <cacheHierarchy uniqueName="[Measures].[Previous Month Core Revenue]" caption="Previous Month Core Revenue" measure="1" displayFolder="" measureGroup="fact_Transactions" count="0"/>
    <cacheHierarchy uniqueName="[Measures].[MoM Revenue Growth %]" caption="MoM Revenue Growth %" measure="1" displayFolder="" measureGroup="fact_Transactions" count="0"/>
    <cacheHierarchy uniqueName="[Measures].[__XL_Count fact_Transactions]" caption="__XL_Count fact_Transactions" measure="1" displayFolder="" measureGroup="fact_Transactions"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dim_Customer]" caption="__XL_Count dim_Customer" measure="1" displayFolder="" measureGroup="dim_Customer" count="0" hidden="1"/>
    <cacheHierarchy uniqueName="[Measures].[__XL_Count dim_Country]" caption="__XL_Count dim_Country" measure="1" displayFolder="" measureGroup="dim_Country" count="0" hidden="1"/>
    <cacheHierarchy uniqueName="[Measures].[__No measures defined]" caption="__No measures defined" measure="1" displayFolder="" count="0" hidden="1"/>
  </cacheHierarchies>
  <kpis count="0"/>
  <dimensions count="6">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Transactions" uniqueName="[fact_Transactions]" caption="fact_Transactions"/>
    <dimension measure="1" name="Measures" uniqueName="[Measures]" caption="Measures"/>
  </dimensions>
  <measureGroups count="5">
    <measureGroup name="dim_Country" caption="dim_Country"/>
    <measureGroup name="dim_Customer" caption="dim_Customer"/>
    <measureGroup name="dim_Date" caption="dim_Date"/>
    <measureGroup name="dim_Product" caption="dim_Product"/>
    <measureGroup name="fact_Transactions" caption="fact_Transactions"/>
  </measureGroups>
  <maps count="9">
    <map measureGroup="0" dimension="0"/>
    <map measureGroup="1" dimension="1"/>
    <map measureGroup="2"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ara Pires" refreshedDate="46275.412604745368" createdVersion="8" refreshedVersion="8" minRefreshableVersion="3" recordCount="0" supportSubquery="1" supportAdvancedDrill="1" xr:uid="{CB7BE957-B4A9-4494-AE63-41A0BFEEFC95}">
  <cacheSource type="external" connectionId="12"/>
  <cacheFields count="2">
    <cacheField name="[fact_Transactions].[YearMonth].[YearMonth]" caption="YearMonth" numFmtId="0" hierarchy="33" level="1">
      <sharedItems count="25">
        <s v="2009-12"/>
        <s v="2010-01"/>
        <s v="2010-02"/>
        <s v="2010-03"/>
        <s v="2010-04"/>
        <s v="2010-05"/>
        <s v="2010-06"/>
        <s v="2010-07"/>
        <s v="2010-08"/>
        <s v="2010-09"/>
        <s v="2010-10"/>
        <s v="2010-11"/>
        <s v="2010-12"/>
        <s v="2011-01"/>
        <s v="2011-02"/>
        <s v="2011-03"/>
        <s v="2011-04"/>
        <s v="2011-05"/>
        <s v="2011-06"/>
        <s v="2011-07"/>
        <s v="2011-08"/>
        <s v="2011-09"/>
        <s v="2011-10"/>
        <s v="2011-11"/>
        <s v="2011-12"/>
      </sharedItems>
    </cacheField>
    <cacheField name="[Measures].[Core Sales Revenue]" caption="Core Sales Revenue" numFmtId="0" hierarchy="38" level="32767"/>
  </cacheFields>
  <cacheHierarchies count="61">
    <cacheHierarchy uniqueName="[dim_Country].[Country]" caption="Country" attribute="1" defaultMemberUniqueName="[dim_Country].[Country].[All]" allUniqueName="[dim_Country].[Country].[All]" dimensionUniqueName="[dim_Country]" displayFolder="" count="0" memberValueDatatype="130" unbalanced="0"/>
    <cacheHierarchy uniqueName="[dim_Customer].[Customer ID]" caption="Customer ID" attribute="1" defaultMemberUniqueName="[dim_Customer].[Customer ID].[All]" allUniqueName="[dim_Customer].[Customer ID].[All]" dimensionUniqueName="[dim_Customer]" displayFolder="" count="0" memberValueDatatype="130" unbalanced="0"/>
    <cacheHierarchy uniqueName="[dim_Date].[Date]" caption="Date" attribute="1" time="1" keyAttribute="1" defaultMemberUniqueName="[dim_Date].[Date].[All]" allUniqueName="[dim_Date].[Date].[All]" dimensionUniqueName="[dim_Date]" displayFolder="" count="0" memberValueDatatype="7" unbalanced="0"/>
    <cacheHierarchy uniqueName="[dim_Date].[Year]" caption="Year" attribute="1" time="1" defaultMemberUniqueName="[dim_Date].[Year].[All]" allUniqueName="[dim_Date].[Year].[All]" dimensionUniqueName="[dim_Date]" displayFolder="" count="0" memberValueDatatype="20" unbalanced="0"/>
    <cacheHierarchy uniqueName="[dim_Date].[Quarter]" caption="Quarter" attribute="1" time="1" defaultMemberUniqueName="[dim_Date].[Quarter].[All]" allUniqueName="[dim_Date].[Quarter].[All]" dimensionUniqueName="[dim_Date]" displayFolder="" count="0" memberValueDatatype="20" unbalanced="0"/>
    <cacheHierarchy uniqueName="[dim_Date].[MonthNumber]" caption="MonthNumber" attribute="1" time="1" defaultMemberUniqueName="[dim_Date].[MonthNumber].[All]" allUniqueName="[dim_Date].[MonthNumber].[All]" dimensionUniqueName="[dim_Date]" displayFolder="" count="0" memberValueDatatype="20" unbalanced="0"/>
    <cacheHierarchy uniqueName="[dim_Date].[MonthName]" caption="MonthName" attribute="1" time="1" defaultMemberUniqueName="[dim_Date].[MonthName].[All]" allUniqueName="[dim_Date].[MonthName].[All]" dimensionUniqueName="[dim_Date]" displayFolder="" count="0" memberValueDatatype="130" unbalanced="0"/>
    <cacheHierarchy uniqueName="[dim_Date].[Day]" caption="Day" attribute="1" time="1" defaultMemberUniqueName="[dim_Date].[Day].[All]" allUniqueName="[dim_Date].[Day].[All]" dimensionUniqueName="[dim_Date]" displayFolder="" count="0" memberValueDatatype="20" unbalanced="0"/>
    <cacheHierarchy uniqueName="[dim_Date].[DayName]" caption="DayName" attribute="1" time="1" defaultMemberUniqueName="[dim_Date].[DayName].[All]" allUniqueName="[dim_Date].[DayName].[All]" dimensionUniqueName="[dim_Date]" displayFolder="" count="0" memberValueDatatype="130" unbalanced="0"/>
    <cacheHierarchy uniqueName="[dim_Date].[YearMonth]" caption="YearMonth" attribute="1" time="1" defaultMemberUniqueName="[dim_Date].[YearMonth].[All]" allUniqueName="[dim_Date].[YearMonth].[All]" dimensionUniqueName="[dim_Date]" displayFolder="" count="0" memberValueDatatype="130" unbalanced="0"/>
    <cacheHierarchy uniqueName="[dim_Product].[StockCode]" caption="StockCode" attribute="1" defaultMemberUniqueName="[dim_Product].[StockCode].[All]" allUniqueName="[dim_Product].[StockCode].[All]" dimensionUniqueName="[dim_Product]" displayFolder="" count="0" memberValueDatatype="130" unbalanced="0"/>
    <cacheHierarchy uniqueName="[dim_Product].[Description]" caption="Description" attribute="1" defaultMemberUniqueName="[dim_Product].[Description].[All]" allUniqueName="[dim_Product].[Description].[All]" dimensionUniqueName="[dim_Product]" displayFolder="" count="0" memberValueDatatype="130" unbalanced="0"/>
    <cacheHierarchy uniqueName="[dim_Product].[DescriptionCount]" caption="DescriptionCount" attribute="1" defaultMemberUniqueName="[dim_Product].[DescriptionCount].[All]" allUniqueName="[dim_Product].[DescriptionCount].[All]" dimensionUniqueName="[dim_Product]" displayFolder="" count="0" memberValueDatatype="130" unbalanced="0"/>
    <cacheHierarchy uniqueName="[dim_Product].[RecordType]" caption="RecordType" attribute="1" defaultMemberUniqueName="[dim_Product].[RecordType].[All]" allUniqueName="[dim_Product].[RecordType].[All]" dimensionUniqueName="[dim_Product]" displayFolder="" count="0" memberValueDatatype="130" unbalanced="0"/>
    <cacheHierarchy uniqueName="[fact_Transactions].[Invoice]" caption="Invoice" attribute="1" defaultMemberUniqueName="[fact_Transactions].[Invoice].[All]" allUniqueName="[fact_Transactions].[Invoice].[All]" dimensionUniqueName="[fact_Transactions]" displayFolder="" count="0" memberValueDatatype="130" unbalanced="0"/>
    <cacheHierarchy uniqueName="[fact_Transactions].[StockCode]" caption="StockCode" attribute="1" defaultMemberUniqueName="[fact_Transactions].[StockCode].[All]" allUniqueName="[fact_Transactions].[StockCode].[All]" dimensionUniqueName="[fact_Transactions]" displayFolder="" count="0" memberValueDatatype="130" unbalanced="0"/>
    <cacheHierarchy uniqueName="[fact_Transactions].[Description]" caption="Description" attribute="1" defaultMemberUniqueName="[fact_Transactions].[Description].[All]" allUniqueName="[fact_Transactions].[Description].[All]" dimensionUniqueName="[fact_Transactions]" displayFolder="" count="0" memberValueDatatype="130" unbalanced="0"/>
    <cacheHierarchy uniqueName="[fact_Transactions].[Quantity]" caption="Quantity" attribute="1" defaultMemberUniqueName="[fact_Transactions].[Quantity].[All]" allUniqueName="[fact_Transactions].[Quantity].[All]" dimensionUniqueName="[fact_Transactions]" displayFolder="" count="0" memberValueDatatype="20" unbalanced="0"/>
    <cacheHierarchy uniqueName="[fact_Transactions].[InvoiceDate]" caption="InvoiceDate" attribute="1" time="1" defaultMemberUniqueName="[fact_Transactions].[InvoiceDate].[All]" allUniqueName="[fact_Transactions].[InvoiceDate].[All]" dimensionUniqueName="[fact_Transactions]" displayFolder="" count="0" memberValueDatatype="7" unbalanced="0"/>
    <cacheHierarchy uniqueName="[fact_Transactions].[Price]" caption="Price" attribute="1" defaultMemberUniqueName="[fact_Transactions].[Price].[All]" allUniqueName="[fact_Transactions].[Price].[All]" dimensionUniqueName="[fact_Transactions]" displayFolder="" count="0" memberValueDatatype="5" unbalanced="0"/>
    <cacheHierarchy uniqueName="[fact_Transactions].[Customer ID]" caption="Customer ID" attribute="1" defaultMemberUniqueName="[fact_Transactions].[Customer ID].[All]" allUniqueName="[fact_Transactions].[Customer ID].[All]" dimensionUniqueName="[fact_Transactions]" displayFolder="" count="0" memberValueDatatype="130" unbalanced="0"/>
    <cacheHierarchy uniqueName="[fact_Transactions].[Country]" caption="Country" attribute="1" defaultMemberUniqueName="[fact_Transactions].[Country].[All]" allUniqueName="[fact_Transactions].[Country].[All]" dimensionUniqueName="[fact_Transactions]" displayFolder="" count="0" memberValueDatatype="130" unbalanced="0"/>
    <cacheHierarchy uniqueName="[fact_Transactions].[InvoiceType]" caption="InvoiceType" attribute="1" defaultMemberUniqueName="[fact_Transactions].[InvoiceType].[All]" allUniqueName="[fact_Transactions].[InvoiceType].[All]" dimensionUniqueName="[fact_Transactions]" displayFolder="" count="0" memberValueDatatype="130" unbalanced="0"/>
    <cacheHierarchy uniqueName="[fact_Transactions].[QuantityType]" caption="QuantityType" attribute="1" defaultMemberUniqueName="[fact_Transactions].[QuantityType].[All]" allUniqueName="[fact_Transactions].[QuantityType].[All]" dimensionUniqueName="[fact_Transactions]" displayFolder="" count="0" memberValueDatatype="130" unbalanced="0"/>
    <cacheHierarchy uniqueName="[fact_Transactions].[RecordType]" caption="RecordType" attribute="1" defaultMemberUniqueName="[fact_Transactions].[RecordType].[All]" allUniqueName="[fact_Transactions].[RecordType].[All]" dimensionUniqueName="[fact_Transactions]" displayFolder="" count="0" memberValueDatatype="130" unbalanced="0"/>
    <cacheHierarchy uniqueName="[fact_Transactions].[AnalysisStatus]" caption="AnalysisStatus" attribute="1" defaultMemberUniqueName="[fact_Transactions].[AnalysisStatus].[All]" allUniqueName="[fact_Transactions].[AnalysisStatus].[All]" dimensionUniqueName="[fact_Transactions]" displayFolder="" count="0" memberValueDatatype="130" unbalanced="0"/>
    <cacheHierarchy uniqueName="[fact_Transactions].[Revenue]" caption="Revenue" attribute="1" defaultMemberUniqueName="[fact_Transactions].[Revenue].[All]" allUniqueName="[fact_Transactions].[Revenue].[All]" dimensionUniqueName="[fact_Transactions]" displayFolder="" count="0" memberValueDatatype="5" unbalanced="0"/>
    <cacheHierarchy uniqueName="[fact_Transactions].[Year]" caption="Year" attribute="1" defaultMemberUniqueName="[fact_Transactions].[Year].[All]" allUniqueName="[fact_Transactions].[Year].[All]" dimensionUniqueName="[fact_Transactions]" displayFolder="" count="0" memberValueDatatype="20" unbalanced="0"/>
    <cacheHierarchy uniqueName="[fact_Transactions].[Quarter]" caption="Quarter" attribute="1" defaultMemberUniqueName="[fact_Transactions].[Quarter].[All]" allUniqueName="[fact_Transactions].[Quarter].[All]" dimensionUniqueName="[fact_Transactions]" displayFolder="" count="0" memberValueDatatype="20" unbalanced="0"/>
    <cacheHierarchy uniqueName="[fact_Transactions].[Month]" caption="Month" attribute="1" defaultMemberUniqueName="[fact_Transactions].[Month].[All]" allUniqueName="[fact_Transactions].[Month].[All]" dimensionUniqueName="[fact_Transactions]" displayFolder="" count="0" memberValueDatatype="20" unbalanced="0"/>
    <cacheHierarchy uniqueName="[fact_Transactions].[Month Name]" caption="Month Name" attribute="1" defaultMemberUniqueName="[fact_Transactions].[Month Name].[All]" allUniqueName="[fact_Transactions].[Month Name].[All]" dimensionUniqueName="[fact_Transactions]" displayFolder="" count="0" memberValueDatatype="130" unbalanced="0"/>
    <cacheHierarchy uniqueName="[fact_Transactions].[Day Name]" caption="Day Name" attribute="1" defaultMemberUniqueName="[fact_Transactions].[Day Name].[All]" allUniqueName="[fact_Transactions].[Day Name].[All]" dimensionUniqueName="[fact_Transactions]" displayFolder="" count="0" memberValueDatatype="130" unbalanced="0"/>
    <cacheHierarchy uniqueName="[fact_Transactions].[Hour]" caption="Hour" attribute="1" defaultMemberUniqueName="[fact_Transactions].[Hour].[All]" allUniqueName="[fact_Transactions].[Hour].[All]" dimensionUniqueName="[fact_Transactions]" displayFolder="" count="0" memberValueDatatype="20" unbalanced="0"/>
    <cacheHierarchy uniqueName="[fact_Transactions].[YearMonth]" caption="YearMonth" attribute="1" defaultMemberUniqueName="[fact_Transactions].[YearMonth].[All]" allUniqueName="[fact_Transactions].[YearMonth].[All]" dimensionUniqueName="[fact_Transactions]" displayFolder="" count="2" memberValueDatatype="130" unbalanced="0">
      <fieldsUsage count="2">
        <fieldUsage x="-1"/>
        <fieldUsage x="0"/>
      </fieldsUsage>
    </cacheHierarchy>
    <cacheHierarchy uniqueName="[fact_Transactions].[TransactionDate]" caption="TransactionDate" attribute="1" time="1" defaultMemberUniqueName="[fact_Transactions].[TransactionDate].[All]" allUniqueName="[fact_Transactions].[TransactionDate].[All]" dimensionUniqueName="[fact_Transactions]" displayFolder="" count="0" memberValueDatatype="7" unbalanced="0"/>
    <cacheHierarchy uniqueName="[fact_Transactions].[RevenueType]" caption="RevenueType" attribute="1" defaultMemberUniqueName="[fact_Transactions].[RevenueType].[All]" allUniqueName="[fact_Transactions].[RevenueType].[All]" dimensionUniqueName="[fact_Transactions]" displayFolder="" count="0" memberValueDatatype="130" unbalanced="0"/>
    <cacheHierarchy uniqueName="[Measures].[Sum of Revenue]" caption="Sum of Revenue" measure="1" displayFolder="" measureGroup="fact_Transactions" count="0">
      <extLst>
        <ext xmlns:x15="http://schemas.microsoft.com/office/spreadsheetml/2010/11/main" uri="{B97F6D7D-B522-45F9-BDA1-12C45D357490}">
          <x15:cacheHierarchy aggregatedColumn="26"/>
        </ext>
      </extLst>
    </cacheHierarchy>
    <cacheHierarchy uniqueName="[Measures].[Total Revenue]" caption="Total Revenue" measure="1" displayFolder="" measureGroup="fact_Transactions" count="0"/>
    <cacheHierarchy uniqueName="[Measures].[Core Sales Revenue]" caption="Core Sales Revenue" measure="1" displayFolder="" measureGroup="fact_Transactions" count="0" oneField="1">
      <fieldsUsage count="1">
        <fieldUsage x="1"/>
      </fieldsUsage>
    </cacheHierarchy>
    <cacheHierarchy uniqueName="[Measures].[Non-Core Revenue]" caption="Non-Core Revenue" measure="1" displayFolder="" measureGroup="fact_Transactions" count="0"/>
    <cacheHierarchy uniqueName="[Measures].[Transaction Lines]" caption="Transaction Lines" measure="1" displayFolder="" measureGroup="fact_Transactions" count="0"/>
    <cacheHierarchy uniqueName="[Measures].[Total Orders]" caption="Total Orders" measure="1" displayFolder="" measureGroup="fact_Transactions" count="0"/>
    <cacheHierarchy uniqueName="[Measures].[Core Orders]" caption="Core Orders" measure="1" displayFolder="" measureGroup="fact_Transactions" count="0"/>
    <cacheHierarchy uniqueName="[Measures].[Unique Customers]" caption="Unique Customers" measure="1" displayFolder="" measureGroup="fact_Transactions" count="0"/>
    <cacheHierarchy uniqueName="[Measures].[Average Order Value]" caption="Average Order Value" measure="1" displayFolder="" measureGroup="fact_Transactions" count="0"/>
    <cacheHierarchy uniqueName="[Measures].[Revenue per Customer]" caption="Revenue per Customer" measure="1" displayFolder="" measureGroup="fact_Transactions" count="0"/>
    <cacheHierarchy uniqueName="[Measures].[Core Units Sold]" caption="Core Units Sold" measure="1" displayFolder="" measureGroup="fact_Transactions" count="0"/>
    <cacheHierarchy uniqueName="[Measures].[Products Sold]" caption="Products Sold" measure="1" displayFolder="" measureGroup="fact_Transactions" count="0"/>
    <cacheHierarchy uniqueName="[Measures].[Cancellation Revenue]" caption="Cancellation Revenue" measure="1" displayFolder="" measureGroup="fact_Transactions" count="0"/>
    <cacheHierarchy uniqueName="[Measures].[Previous Year Core Revenue]" caption="Previous Year Core Revenue" measure="1" displayFolder="" measureGroup="fact_Transactions" count="0"/>
    <cacheHierarchy uniqueName="[Measures].[YoY Revenue Change]" caption="YoY Revenue Change" measure="1" displayFolder="" measureGroup="fact_Transactions" count="0"/>
    <cacheHierarchy uniqueName="[Measures].[YoY Revenue Growth %]" caption="YoY Revenue Growth %" measure="1" displayFolder="" measureGroup="fact_Transactions" count="0"/>
    <cacheHierarchy uniqueName="[Measures].[Core Revenue Share %]" caption="Core Revenue Share %" measure="1" displayFolder="" measureGroup="fact_Transactions" count="0"/>
    <cacheHierarchy uniqueName="[Measures].[Previous Month Core Revenue]" caption="Previous Month Core Revenue" measure="1" displayFolder="" measureGroup="fact_Transactions" count="0"/>
    <cacheHierarchy uniqueName="[Measures].[MoM Revenue Growth %]" caption="MoM Revenue Growth %" measure="1" displayFolder="" measureGroup="fact_Transactions" count="0"/>
    <cacheHierarchy uniqueName="[Measures].[__XL_Count fact_Transactions]" caption="__XL_Count fact_Transactions" measure="1" displayFolder="" measureGroup="fact_Transactions"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dim_Customer]" caption="__XL_Count dim_Customer" measure="1" displayFolder="" measureGroup="dim_Customer" count="0" hidden="1"/>
    <cacheHierarchy uniqueName="[Measures].[__XL_Count dim_Country]" caption="__XL_Count dim_Country" measure="1" displayFolder="" measureGroup="dim_Country" count="0" hidden="1"/>
    <cacheHierarchy uniqueName="[Measures].[__No measures defined]" caption="__No measures defined" measure="1" displayFolder="" count="0" hidden="1"/>
  </cacheHierarchies>
  <kpis count="0"/>
  <dimensions count="6">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Transactions" uniqueName="[fact_Transactions]" caption="fact_Transactions"/>
    <dimension measure="1" name="Measures" uniqueName="[Measures]" caption="Measures"/>
  </dimensions>
  <measureGroups count="5">
    <measureGroup name="dim_Country" caption="dim_Country"/>
    <measureGroup name="dim_Customer" caption="dim_Customer"/>
    <measureGroup name="dim_Date" caption="dim_Date"/>
    <measureGroup name="dim_Product" caption="dim_Product"/>
    <measureGroup name="fact_Transactions" caption="fact_Transactions"/>
  </measureGroups>
  <maps count="9">
    <map measureGroup="0" dimension="0"/>
    <map measureGroup="1" dimension="1"/>
    <map measureGroup="2"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ara Pires" refreshedDate="46275.738576504627" createdVersion="5" refreshedVersion="8" minRefreshableVersion="3" recordCount="0" supportSubquery="1" supportAdvancedDrill="1" xr:uid="{27027CE9-F41B-40AD-86AB-4326BC99FF04}">
  <cacheSource type="external" connectionId="12"/>
  <cacheFields count="4">
    <cacheField name="[dim_Date].[YearMonth].[YearMonth]" caption="YearMonth" numFmtId="0" hierarchy="9" level="1">
      <sharedItems count="25">
        <s v="2009-12"/>
        <s v="2010-01"/>
        <s v="2010-02"/>
        <s v="2010-03"/>
        <s v="2010-04"/>
        <s v="2010-05"/>
        <s v="2010-06"/>
        <s v="2010-07"/>
        <s v="2010-08"/>
        <s v="2010-09"/>
        <s v="2010-10"/>
        <s v="2010-11"/>
        <s v="2010-12"/>
        <s v="2011-01"/>
        <s v="2011-02"/>
        <s v="2011-03"/>
        <s v="2011-04"/>
        <s v="2011-05"/>
        <s v="2011-06"/>
        <s v="2011-07"/>
        <s v="2011-08"/>
        <s v="2011-09"/>
        <s v="2011-10"/>
        <s v="2011-11"/>
        <s v="2011-12"/>
      </sharedItems>
    </cacheField>
    <cacheField name="[Measures].[Core Sales Revenue]" caption="Core Sales Revenue" numFmtId="0" hierarchy="38" level="32767"/>
    <cacheField name="[Measures].[Core Orders]" caption="Core Orders" numFmtId="0" hierarchy="42" level="32767"/>
    <cacheField name="[Measures].[Average Order Value]" caption="Average Order Value" numFmtId="0" hierarchy="44" level="32767"/>
  </cacheFields>
  <cacheHierarchies count="61">
    <cacheHierarchy uniqueName="[dim_Country].[Country]" caption="Country" attribute="1" defaultMemberUniqueName="[dim_Country].[Country].[All]" allUniqueName="[dim_Country].[Country].[All]" dimensionUniqueName="[dim_Country]" displayFolder="" count="0" memberValueDatatype="130" unbalanced="0"/>
    <cacheHierarchy uniqueName="[dim_Customer].[Customer ID]" caption="Customer ID" attribute="1" defaultMemberUniqueName="[dim_Customer].[Customer ID].[All]" allUniqueName="[dim_Customer].[Customer ID].[All]" dimensionUniqueName="[dim_Customer]" displayFolder="" count="0" memberValueDatatype="130" unbalanced="0"/>
    <cacheHierarchy uniqueName="[dim_Date].[Date]" caption="Date" attribute="1" time="1" keyAttribute="1" defaultMemberUniqueName="[dim_Date].[Date].[All]" allUniqueName="[dim_Date].[Date].[All]" dimensionUniqueName="[dim_Date]" displayFolder="" count="0" memberValueDatatype="7" unbalanced="0"/>
    <cacheHierarchy uniqueName="[dim_Date].[Year]" caption="Year" attribute="1" time="1" defaultMemberUniqueName="[dim_Date].[Year].[All]" allUniqueName="[dim_Date].[Year].[All]" dimensionUniqueName="[dim_Date]" displayFolder="" count="0" memberValueDatatype="20" unbalanced="0"/>
    <cacheHierarchy uniqueName="[dim_Date].[Quarter]" caption="Quarter" attribute="1" time="1" defaultMemberUniqueName="[dim_Date].[Quarter].[All]" allUniqueName="[dim_Date].[Quarter].[All]" dimensionUniqueName="[dim_Date]" displayFolder="" count="0" memberValueDatatype="20" unbalanced="0"/>
    <cacheHierarchy uniqueName="[dim_Date].[MonthNumber]" caption="MonthNumber" attribute="1" time="1" defaultMemberUniqueName="[dim_Date].[MonthNumber].[All]" allUniqueName="[dim_Date].[MonthNumber].[All]" dimensionUniqueName="[dim_Date]" displayFolder="" count="0" memberValueDatatype="20" unbalanced="0"/>
    <cacheHierarchy uniqueName="[dim_Date].[MonthName]" caption="MonthName" attribute="1" time="1" defaultMemberUniqueName="[dim_Date].[MonthName].[All]" allUniqueName="[dim_Date].[MonthName].[All]" dimensionUniqueName="[dim_Date]" displayFolder="" count="0" memberValueDatatype="130" unbalanced="0"/>
    <cacheHierarchy uniqueName="[dim_Date].[Day]" caption="Day" attribute="1" time="1" defaultMemberUniqueName="[dim_Date].[Day].[All]" allUniqueName="[dim_Date].[Day].[All]" dimensionUniqueName="[dim_Date]" displayFolder="" count="0" memberValueDatatype="20" unbalanced="0"/>
    <cacheHierarchy uniqueName="[dim_Date].[DayName]" caption="DayName" attribute="1" time="1" defaultMemberUniqueName="[dim_Date].[DayName].[All]" allUniqueName="[dim_Date].[DayName].[All]" dimensionUniqueName="[dim_Date]" displayFolder="" count="0" memberValueDatatype="130" unbalanced="0"/>
    <cacheHierarchy uniqueName="[dim_Date].[YearMonth]" caption="YearMonth" attribute="1" time="1" defaultMemberUniqueName="[dim_Date].[YearMonth].[All]" allUniqueName="[dim_Date].[YearMonth].[All]" dimensionUniqueName="[dim_Date]" displayFolder="" count="2" memberValueDatatype="130" unbalanced="0">
      <fieldsUsage count="2">
        <fieldUsage x="-1"/>
        <fieldUsage x="0"/>
      </fieldsUsage>
    </cacheHierarchy>
    <cacheHierarchy uniqueName="[dim_Product].[StockCode]" caption="StockCode" attribute="1" defaultMemberUniqueName="[dim_Product].[StockCode].[All]" allUniqueName="[dim_Product].[StockCode].[All]" dimensionUniqueName="[dim_Product]" displayFolder="" count="0" memberValueDatatype="130" unbalanced="0"/>
    <cacheHierarchy uniqueName="[dim_Product].[Description]" caption="Description" attribute="1" defaultMemberUniqueName="[dim_Product].[Description].[All]" allUniqueName="[dim_Product].[Description].[All]" dimensionUniqueName="[dim_Product]" displayFolder="" count="0" memberValueDatatype="130" unbalanced="0"/>
    <cacheHierarchy uniqueName="[dim_Product].[DescriptionCount]" caption="DescriptionCount" attribute="1" defaultMemberUniqueName="[dim_Product].[DescriptionCount].[All]" allUniqueName="[dim_Product].[DescriptionCount].[All]" dimensionUniqueName="[dim_Product]" displayFolder="" count="0" memberValueDatatype="130" unbalanced="0"/>
    <cacheHierarchy uniqueName="[dim_Product].[RecordType]" caption="RecordType" attribute="1" defaultMemberUniqueName="[dim_Product].[RecordType].[All]" allUniqueName="[dim_Product].[RecordType].[All]" dimensionUniqueName="[dim_Product]" displayFolder="" count="0" memberValueDatatype="130" unbalanced="0"/>
    <cacheHierarchy uniqueName="[fact_Transactions].[Invoice]" caption="Invoice" attribute="1" defaultMemberUniqueName="[fact_Transactions].[Invoice].[All]" allUniqueName="[fact_Transactions].[Invoice].[All]" dimensionUniqueName="[fact_Transactions]" displayFolder="" count="0" memberValueDatatype="130" unbalanced="0"/>
    <cacheHierarchy uniqueName="[fact_Transactions].[StockCode]" caption="StockCode" attribute="1" defaultMemberUniqueName="[fact_Transactions].[StockCode].[All]" allUniqueName="[fact_Transactions].[StockCode].[All]" dimensionUniqueName="[fact_Transactions]" displayFolder="" count="0" memberValueDatatype="130" unbalanced="0"/>
    <cacheHierarchy uniqueName="[fact_Transactions].[Description]" caption="Description" attribute="1" defaultMemberUniqueName="[fact_Transactions].[Description].[All]" allUniqueName="[fact_Transactions].[Description].[All]" dimensionUniqueName="[fact_Transactions]" displayFolder="" count="0" memberValueDatatype="130" unbalanced="0"/>
    <cacheHierarchy uniqueName="[fact_Transactions].[Quantity]" caption="Quantity" attribute="1" defaultMemberUniqueName="[fact_Transactions].[Quantity].[All]" allUniqueName="[fact_Transactions].[Quantity].[All]" dimensionUniqueName="[fact_Transactions]" displayFolder="" count="0" memberValueDatatype="20" unbalanced="0"/>
    <cacheHierarchy uniqueName="[fact_Transactions].[InvoiceDate]" caption="InvoiceDate" attribute="1" time="1" defaultMemberUniqueName="[fact_Transactions].[InvoiceDate].[All]" allUniqueName="[fact_Transactions].[InvoiceDate].[All]" dimensionUniqueName="[fact_Transactions]" displayFolder="" count="0" memberValueDatatype="7" unbalanced="0"/>
    <cacheHierarchy uniqueName="[fact_Transactions].[Price]" caption="Price" attribute="1" defaultMemberUniqueName="[fact_Transactions].[Price].[All]" allUniqueName="[fact_Transactions].[Price].[All]" dimensionUniqueName="[fact_Transactions]" displayFolder="" count="0" memberValueDatatype="5" unbalanced="0"/>
    <cacheHierarchy uniqueName="[fact_Transactions].[Customer ID]" caption="Customer ID" attribute="1" defaultMemberUniqueName="[fact_Transactions].[Customer ID].[All]" allUniqueName="[fact_Transactions].[Customer ID].[All]" dimensionUniqueName="[fact_Transactions]" displayFolder="" count="0" memberValueDatatype="130" unbalanced="0"/>
    <cacheHierarchy uniqueName="[fact_Transactions].[Country]" caption="Country" attribute="1" defaultMemberUniqueName="[fact_Transactions].[Country].[All]" allUniqueName="[fact_Transactions].[Country].[All]" dimensionUniqueName="[fact_Transactions]" displayFolder="" count="0" memberValueDatatype="130" unbalanced="0"/>
    <cacheHierarchy uniqueName="[fact_Transactions].[InvoiceType]" caption="InvoiceType" attribute="1" defaultMemberUniqueName="[fact_Transactions].[InvoiceType].[All]" allUniqueName="[fact_Transactions].[InvoiceType].[All]" dimensionUniqueName="[fact_Transactions]" displayFolder="" count="0" memberValueDatatype="130" unbalanced="0"/>
    <cacheHierarchy uniqueName="[fact_Transactions].[QuantityType]" caption="QuantityType" attribute="1" defaultMemberUniqueName="[fact_Transactions].[QuantityType].[All]" allUniqueName="[fact_Transactions].[QuantityType].[All]" dimensionUniqueName="[fact_Transactions]" displayFolder="" count="0" memberValueDatatype="130" unbalanced="0"/>
    <cacheHierarchy uniqueName="[fact_Transactions].[RecordType]" caption="RecordType" attribute="1" defaultMemberUniqueName="[fact_Transactions].[RecordType].[All]" allUniqueName="[fact_Transactions].[RecordType].[All]" dimensionUniqueName="[fact_Transactions]" displayFolder="" count="0" memberValueDatatype="130" unbalanced="0"/>
    <cacheHierarchy uniqueName="[fact_Transactions].[AnalysisStatus]" caption="AnalysisStatus" attribute="1" defaultMemberUniqueName="[fact_Transactions].[AnalysisStatus].[All]" allUniqueName="[fact_Transactions].[AnalysisStatus].[All]" dimensionUniqueName="[fact_Transactions]" displayFolder="" count="0" memberValueDatatype="130" unbalanced="0"/>
    <cacheHierarchy uniqueName="[fact_Transactions].[Revenue]" caption="Revenue" attribute="1" defaultMemberUniqueName="[fact_Transactions].[Revenue].[All]" allUniqueName="[fact_Transactions].[Revenue].[All]" dimensionUniqueName="[fact_Transactions]" displayFolder="" count="0" memberValueDatatype="5" unbalanced="0"/>
    <cacheHierarchy uniqueName="[fact_Transactions].[Year]" caption="Year" attribute="1" defaultMemberUniqueName="[fact_Transactions].[Year].[All]" allUniqueName="[fact_Transactions].[Year].[All]" dimensionUniqueName="[fact_Transactions]" displayFolder="" count="0" memberValueDatatype="20" unbalanced="0"/>
    <cacheHierarchy uniqueName="[fact_Transactions].[Quarter]" caption="Quarter" attribute="1" defaultMemberUniqueName="[fact_Transactions].[Quarter].[All]" allUniqueName="[fact_Transactions].[Quarter].[All]" dimensionUniqueName="[fact_Transactions]" displayFolder="" count="0" memberValueDatatype="20" unbalanced="0"/>
    <cacheHierarchy uniqueName="[fact_Transactions].[Month]" caption="Month" attribute="1" defaultMemberUniqueName="[fact_Transactions].[Month].[All]" allUniqueName="[fact_Transactions].[Month].[All]" dimensionUniqueName="[fact_Transactions]" displayFolder="" count="0" memberValueDatatype="20" unbalanced="0"/>
    <cacheHierarchy uniqueName="[fact_Transactions].[Month Name]" caption="Month Name" attribute="1" defaultMemberUniqueName="[fact_Transactions].[Month Name].[All]" allUniqueName="[fact_Transactions].[Month Name].[All]" dimensionUniqueName="[fact_Transactions]" displayFolder="" count="0" memberValueDatatype="130" unbalanced="0"/>
    <cacheHierarchy uniqueName="[fact_Transactions].[Day Name]" caption="Day Name" attribute="1" defaultMemberUniqueName="[fact_Transactions].[Day Name].[All]" allUniqueName="[fact_Transactions].[Day Name].[All]" dimensionUniqueName="[fact_Transactions]" displayFolder="" count="0" memberValueDatatype="130" unbalanced="0"/>
    <cacheHierarchy uniqueName="[fact_Transactions].[Hour]" caption="Hour" attribute="1" defaultMemberUniqueName="[fact_Transactions].[Hour].[All]" allUniqueName="[fact_Transactions].[Hour].[All]" dimensionUniqueName="[fact_Transactions]" displayFolder="" count="0" memberValueDatatype="20" unbalanced="0"/>
    <cacheHierarchy uniqueName="[fact_Transactions].[YearMonth]" caption="YearMonth" attribute="1" defaultMemberUniqueName="[fact_Transactions].[YearMonth].[All]" allUniqueName="[fact_Transactions].[YearMonth].[All]" dimensionUniqueName="[fact_Transactions]" displayFolder="" count="0" memberValueDatatype="130" unbalanced="0"/>
    <cacheHierarchy uniqueName="[fact_Transactions].[TransactionDate]" caption="TransactionDate" attribute="1" time="1" defaultMemberUniqueName="[fact_Transactions].[TransactionDate].[All]" allUniqueName="[fact_Transactions].[TransactionDate].[All]" dimensionUniqueName="[fact_Transactions]" displayFolder="" count="0" memberValueDatatype="7" unbalanced="0"/>
    <cacheHierarchy uniqueName="[fact_Transactions].[RevenueType]" caption="RevenueType" attribute="1" defaultMemberUniqueName="[fact_Transactions].[RevenueType].[All]" allUniqueName="[fact_Transactions].[RevenueType].[All]" dimensionUniqueName="[fact_Transactions]" displayFolder="" count="0" memberValueDatatype="130" unbalanced="0"/>
    <cacheHierarchy uniqueName="[Measures].[Sum of Revenue]" caption="Sum of Revenue" measure="1" displayFolder="" measureGroup="fact_Transactions" count="0">
      <extLst>
        <ext xmlns:x15="http://schemas.microsoft.com/office/spreadsheetml/2010/11/main" uri="{B97F6D7D-B522-45F9-BDA1-12C45D357490}">
          <x15:cacheHierarchy aggregatedColumn="26"/>
        </ext>
      </extLst>
    </cacheHierarchy>
    <cacheHierarchy uniqueName="[Measures].[Total Revenue]" caption="Total Revenue" measure="1" displayFolder="" measureGroup="fact_Transactions" count="0"/>
    <cacheHierarchy uniqueName="[Measures].[Core Sales Revenue]" caption="Core Sales Revenue" measure="1" displayFolder="" measureGroup="fact_Transactions" count="0" oneField="1">
      <fieldsUsage count="1">
        <fieldUsage x="1"/>
      </fieldsUsage>
    </cacheHierarchy>
    <cacheHierarchy uniqueName="[Measures].[Non-Core Revenue]" caption="Non-Core Revenue" measure="1" displayFolder="" measureGroup="fact_Transactions" count="0"/>
    <cacheHierarchy uniqueName="[Measures].[Transaction Lines]" caption="Transaction Lines" measure="1" displayFolder="" measureGroup="fact_Transactions" count="0"/>
    <cacheHierarchy uniqueName="[Measures].[Total Orders]" caption="Total Orders" measure="1" displayFolder="" measureGroup="fact_Transactions" count="0"/>
    <cacheHierarchy uniqueName="[Measures].[Core Orders]" caption="Core Orders" measure="1" displayFolder="" measureGroup="fact_Transactions" count="0" oneField="1">
      <fieldsUsage count="1">
        <fieldUsage x="2"/>
      </fieldsUsage>
    </cacheHierarchy>
    <cacheHierarchy uniqueName="[Measures].[Unique Customers]" caption="Unique Customers" measure="1" displayFolder="" measureGroup="fact_Transactions" count="0"/>
    <cacheHierarchy uniqueName="[Measures].[Average Order Value]" caption="Average Order Value" measure="1" displayFolder="" measureGroup="fact_Transactions" count="0" oneField="1">
      <fieldsUsage count="1">
        <fieldUsage x="3"/>
      </fieldsUsage>
    </cacheHierarchy>
    <cacheHierarchy uniqueName="[Measures].[Revenue per Customer]" caption="Revenue per Customer" measure="1" displayFolder="" measureGroup="fact_Transactions" count="0"/>
    <cacheHierarchy uniqueName="[Measures].[Core Units Sold]" caption="Core Units Sold" measure="1" displayFolder="" measureGroup="fact_Transactions" count="0"/>
    <cacheHierarchy uniqueName="[Measures].[Products Sold]" caption="Products Sold" measure="1" displayFolder="" measureGroup="fact_Transactions" count="0"/>
    <cacheHierarchy uniqueName="[Measures].[Cancellation Revenue]" caption="Cancellation Revenue" measure="1" displayFolder="" measureGroup="fact_Transactions" count="0"/>
    <cacheHierarchy uniqueName="[Measures].[Previous Year Core Revenue]" caption="Previous Year Core Revenue" measure="1" displayFolder="" measureGroup="fact_Transactions" count="0"/>
    <cacheHierarchy uniqueName="[Measures].[YoY Revenue Change]" caption="YoY Revenue Change" measure="1" displayFolder="" measureGroup="fact_Transactions" count="0"/>
    <cacheHierarchy uniqueName="[Measures].[YoY Revenue Growth %]" caption="YoY Revenue Growth %" measure="1" displayFolder="" measureGroup="fact_Transactions" count="0"/>
    <cacheHierarchy uniqueName="[Measures].[Core Revenue Share %]" caption="Core Revenue Share %" measure="1" displayFolder="" measureGroup="fact_Transactions" count="0"/>
    <cacheHierarchy uniqueName="[Measures].[Previous Month Core Revenue]" caption="Previous Month Core Revenue" measure="1" displayFolder="" measureGroup="fact_Transactions" count="0"/>
    <cacheHierarchy uniqueName="[Measures].[MoM Revenue Growth %]" caption="MoM Revenue Growth %" measure="1" displayFolder="" measureGroup="fact_Transactions" count="0"/>
    <cacheHierarchy uniqueName="[Measures].[__XL_Count fact_Transactions]" caption="__XL_Count fact_Transactions" measure="1" displayFolder="" measureGroup="fact_Transactions"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dim_Customer]" caption="__XL_Count dim_Customer" measure="1" displayFolder="" measureGroup="dim_Customer" count="0" hidden="1"/>
    <cacheHierarchy uniqueName="[Measures].[__XL_Count dim_Country]" caption="__XL_Count dim_Country" measure="1" displayFolder="" measureGroup="dim_Country" count="0" hidden="1"/>
    <cacheHierarchy uniqueName="[Measures].[__No measures defined]" caption="__No measures defined" measure="1" displayFolder="" count="0" hidden="1"/>
  </cacheHierarchies>
  <kpis count="0"/>
  <dimensions count="6">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Transactions" uniqueName="[fact_Transactions]" caption="fact_Transactions"/>
    <dimension measure="1" name="Measures" uniqueName="[Measures]" caption="Measures"/>
  </dimensions>
  <measureGroups count="5">
    <measureGroup name="dim_Country" caption="dim_Country"/>
    <measureGroup name="dim_Customer" caption="dim_Customer"/>
    <measureGroup name="dim_Date" caption="dim_Date"/>
    <measureGroup name="dim_Product" caption="dim_Product"/>
    <measureGroup name="fact_Transactions" caption="fact_Transactions"/>
  </measureGroups>
  <maps count="9">
    <map measureGroup="0" dimension="0"/>
    <map measureGroup="1" dimension="1"/>
    <map measureGroup="2"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76F236-F736-4CFB-98F0-7AFABBDD3845}" name="PivotTable2"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C4:AD15" firstHeaderRow="1" firstDataRow="1" firstDataCol="1"/>
  <pivotFields count="2">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1">
    <i>
      <x v="9"/>
    </i>
    <i>
      <x v="4"/>
    </i>
    <i>
      <x v="5"/>
    </i>
    <i>
      <x v="3"/>
    </i>
    <i>
      <x v="2"/>
    </i>
    <i>
      <x/>
    </i>
    <i>
      <x v="6"/>
    </i>
    <i>
      <x v="8"/>
    </i>
    <i>
      <x v="7"/>
    </i>
    <i>
      <x v="1"/>
    </i>
    <i t="grand">
      <x/>
    </i>
  </rowItems>
  <colItems count="1">
    <i/>
  </colItems>
  <dataFields count="1">
    <dataField fld="1"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6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38">
      <autoFilter ref="A1">
        <filterColumn colId="0">
          <top10 val="10" filterVal="10"/>
        </filterColumn>
      </autoFilter>
    </filter>
  </filters>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Country]"/>
        <x15:activeTabTopLevelEntity name="[fact_Transactio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D7E8356-0D53-4B76-A88A-931D7B69DC65}" name="PivotTable1" cacheId="9" applyNumberFormats="0" applyBorderFormats="0" applyFontFormats="0" applyPatternFormats="0" applyAlignmentFormats="0" applyWidthHeightFormats="1" dataCaption="Values" tag="ed9da114-8ae4-4489-8811-4524354a2b7c" updatedVersion="8" minRefreshableVersion="3" useAutoFormatting="1" itemPrintTitles="1" createdVersion="5" indent="0" outline="1" outlineData="1" multipleFieldFilters="0">
  <location ref="B3:Z49" firstHeaderRow="1" firstDataRow="3" firstDataCol="1"/>
  <pivotFields count="8">
    <pivotField axis="axisRow" allDrilled="1" subtotalTop="0" showAll="0" dataSourceSort="1" defaultSubtotal="0" defaultAttributeDrillState="1">
      <items count="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s>
    </pivotField>
    <pivotField axis="axisCol"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4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t="grand">
      <x/>
    </i>
  </rowItems>
  <colFields count="2">
    <field x="1"/>
    <field x="-2"/>
  </colFields>
  <colItems count="24">
    <i>
      <x/>
      <x/>
    </i>
    <i r="1" i="1">
      <x v="1"/>
    </i>
    <i r="1" i="2">
      <x v="2"/>
    </i>
    <i r="1" i="3">
      <x v="3"/>
    </i>
    <i r="1" i="4">
      <x v="4"/>
    </i>
    <i r="1" i="5">
      <x v="5"/>
    </i>
    <i>
      <x v="1"/>
      <x/>
    </i>
    <i r="1" i="1">
      <x v="1"/>
    </i>
    <i r="1" i="2">
      <x v="2"/>
    </i>
    <i r="1" i="3">
      <x v="3"/>
    </i>
    <i r="1" i="4">
      <x v="4"/>
    </i>
    <i r="1" i="5">
      <x v="5"/>
    </i>
    <i>
      <x v="2"/>
      <x/>
    </i>
    <i r="1" i="1">
      <x v="1"/>
    </i>
    <i r="1" i="2">
      <x v="2"/>
    </i>
    <i r="1" i="3">
      <x v="3"/>
    </i>
    <i r="1" i="4">
      <x v="4"/>
    </i>
    <i r="1" i="5">
      <x v="5"/>
    </i>
    <i t="grand">
      <x/>
    </i>
    <i t="grand" i="1">
      <x/>
    </i>
    <i t="grand" i="2">
      <x/>
    </i>
    <i t="grand" i="3">
      <x/>
    </i>
    <i t="grand" i="4">
      <x/>
    </i>
    <i t="grand" i="5">
      <x/>
    </i>
  </colItems>
  <dataFields count="6">
    <dataField fld="2" subtotal="count" baseField="0" baseItem="0"/>
    <dataField fld="3" subtotal="count" baseField="0" baseItem="0"/>
    <dataField fld="4" subtotal="count" baseField="0" baseItem="0"/>
    <dataField fld="5" subtotal="count" baseField="0" baseItem="0"/>
    <dataField fld="7" subtotal="count" baseField="0" baseItem="0"/>
    <dataField fld="6" subtotal="count" baseField="0" baseItem="0"/>
  </dataFields>
  <pivotHierarchies count="6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0"/>
  </rowHierarchiesUsage>
  <colHierarchiesUsage count="2">
    <colHierarchyUsage hierarchyUsage="3"/>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Country]"/>
        <x15:activeTabTopLevelEntity name="[dim_Date]"/>
        <x15:activeTabTopLevelEntity name="[fact_Transactio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A5C2357-C613-4939-87E2-6C900C0E53B1}" name="PivotTable2" cacheId="10" applyNumberFormats="0" applyBorderFormats="0" applyFontFormats="0" applyPatternFormats="0" applyAlignmentFormats="0" applyWidthHeightFormats="1" dataCaption="Values" tag="e1bcacb6-cba6-442d-a080-a94e7fb6d9a0" updatedVersion="8" minRefreshableVersion="3" useAutoFormatting="1" itemPrintTitles="1" createdVersion="5" indent="0" outline="1" outlineData="1" multipleFieldFilters="0">
  <location ref="B3:L7" firstHeaderRow="0" firstDataRow="1" firstDataCol="1"/>
  <pivotFields count="11">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4">
    <i>
      <x/>
    </i>
    <i>
      <x v="1"/>
    </i>
    <i>
      <x v="2"/>
    </i>
    <i t="grand">
      <x/>
    </i>
  </rowItems>
  <colFields count="1">
    <field x="-2"/>
  </colFields>
  <colItems count="10">
    <i>
      <x/>
    </i>
    <i i="1">
      <x v="1"/>
    </i>
    <i i="2">
      <x v="2"/>
    </i>
    <i i="3">
      <x v="3"/>
    </i>
    <i i="4">
      <x v="4"/>
    </i>
    <i i="5">
      <x v="5"/>
    </i>
    <i i="6">
      <x v="6"/>
    </i>
    <i i="7">
      <x v="7"/>
    </i>
    <i i="8">
      <x v="8"/>
    </i>
    <i i="9">
      <x v="9"/>
    </i>
  </colItems>
  <dataFields count="10">
    <dataField fld="1" subtotal="count" baseField="0" baseItem="0"/>
    <dataField fld="9" subtotal="count" baseField="0" baseItem="0"/>
    <dataField fld="8" subtotal="count" baseField="0" baseItem="0"/>
    <dataField fld="7" subtotal="count" baseField="0" baseItem="0"/>
    <dataField fld="6" subtotal="count" baseField="0" baseItem="0"/>
    <dataField fld="5" subtotal="count" baseField="0" baseItem="0"/>
    <dataField fld="4" subtotal="count" baseField="0" baseItem="0"/>
    <dataField fld="2" subtotal="count" baseField="0" baseItem="0"/>
    <dataField fld="10" subtotal="count" baseField="0" baseItem="0"/>
    <dataField fld="3" subtotal="count" baseField="0" baseItem="0"/>
  </dataFields>
  <pivotHierarchies count="6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fact_Transactio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D679D1-7EDB-4883-8262-C91BCA0030AC}" name="PivotTable3" cacheId="12" applyNumberFormats="0" applyBorderFormats="0" applyFontFormats="0" applyPatternFormats="0" applyAlignmentFormats="0" applyWidthHeightFormats="1" dataCaption="Values" tag="19dd4086-e778-4b09-9449-9d493022bff6" updatedVersion="8" minRefreshableVersion="3" useAutoFormatting="1" itemPrintTitles="1" createdVersion="5" indent="0" outline="1" outlineData="1" multipleFieldFilters="0" chartFormat="1">
  <location ref="B3:E29" firstHeaderRow="0" firstDataRow="1" firstDataCol="1"/>
  <pivotFields count="4">
    <pivotField axis="axisRow" allDrilled="1" subtotalTop="0" showAll="0" dataSourceSort="1" defaultSubtotal="0" defaultAttributeDrillState="1">
      <items count="25">
        <item x="0"/>
        <item x="1"/>
        <item x="2"/>
        <item x="3"/>
        <item x="4"/>
        <item x="5"/>
        <item x="6"/>
        <item x="7"/>
        <item x="8"/>
        <item x="9"/>
        <item x="10"/>
        <item x="11"/>
        <item x="12"/>
        <item x="13"/>
        <item x="14"/>
        <item x="15"/>
        <item x="16"/>
        <item x="17"/>
        <item x="18"/>
        <item x="19"/>
        <item x="20"/>
        <item x="21"/>
        <item x="22"/>
        <item x="23"/>
        <item x="24"/>
      </items>
    </pivotField>
    <pivotField dataField="1" subtotalTop="0" showAll="0" defaultSubtotal="0"/>
    <pivotField dataField="1" subtotalTop="0" showAll="0" defaultSubtotal="0"/>
    <pivotField dataField="1" subtotalTop="0" showAll="0" defaultSubtotal="0"/>
  </pivotFields>
  <rowFields count="1">
    <field x="0"/>
  </rowFields>
  <rowItems count="26">
    <i>
      <x/>
    </i>
    <i>
      <x v="1"/>
    </i>
    <i>
      <x v="2"/>
    </i>
    <i>
      <x v="3"/>
    </i>
    <i>
      <x v="4"/>
    </i>
    <i>
      <x v="5"/>
    </i>
    <i>
      <x v="6"/>
    </i>
    <i>
      <x v="7"/>
    </i>
    <i>
      <x v="8"/>
    </i>
    <i>
      <x v="9"/>
    </i>
    <i>
      <x v="10"/>
    </i>
    <i>
      <x v="11"/>
    </i>
    <i>
      <x v="12"/>
    </i>
    <i>
      <x v="13"/>
    </i>
    <i>
      <x v="14"/>
    </i>
    <i>
      <x v="15"/>
    </i>
    <i>
      <x v="16"/>
    </i>
    <i>
      <x v="17"/>
    </i>
    <i>
      <x v="18"/>
    </i>
    <i>
      <x v="19"/>
    </i>
    <i>
      <x v="20"/>
    </i>
    <i>
      <x v="21"/>
    </i>
    <i>
      <x v="22"/>
    </i>
    <i>
      <x v="23"/>
    </i>
    <i>
      <x v="24"/>
    </i>
    <i t="grand">
      <x/>
    </i>
  </rowItems>
  <colFields count="1">
    <field x="-2"/>
  </colFields>
  <colItems count="3">
    <i>
      <x/>
    </i>
    <i i="1">
      <x v="1"/>
    </i>
    <i i="2">
      <x v="2"/>
    </i>
  </colItems>
  <dataFields count="3">
    <dataField fld="1" subtotal="count" baseField="0" baseItem="0"/>
    <dataField fld="3" subtotal="count" baseField="0" baseItem="0"/>
    <dataField fld="2" subtotal="count" baseField="0" baseItem="0"/>
  </dataFields>
  <chartFormats count="3">
    <chartFormat chart="0" format="0"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2"/>
          </reference>
        </references>
      </pivotArea>
    </chartFormat>
    <chartFormat chart="0" format="4" series="1">
      <pivotArea type="data" outline="0" fieldPosition="0">
        <references count="1">
          <reference field="4294967294" count="1" selected="0">
            <x v="1"/>
          </reference>
        </references>
      </pivotArea>
    </chartFormat>
  </chartFormats>
  <pivotHierarchies count="6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fact_Transactio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A5ACDEC-F51B-4BB0-8DAC-92B37A5EC4AA}" name="PivotTable3"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5:F16" firstHeaderRow="0" firstDataRow="1" firstDataCol="1" rowPageCount="1" colPageCount="1"/>
  <pivotFields count="5">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2"/>
            </reference>
          </references>
        </pivotArea>
      </autoSortScope>
    </pivotField>
    <pivotField dataField="1" subtotalTop="0" showAll="0" defaultSubtotal="0"/>
    <pivotField dataField="1" subtotalTop="0" showAll="0" defaultSubtotal="0"/>
    <pivotField dataField="1" subtotalTop="0" showAll="0" defaultSubtotal="0"/>
    <pivotField axis="axisPage" allDrilled="1" subtotalTop="0" showAll="0" dataSourceSort="1" defaultSubtotal="0" defaultAttributeDrillState="1"/>
  </pivotFields>
  <rowFields count="1">
    <field x="0"/>
  </rowFields>
  <rowItems count="11">
    <i>
      <x v="7"/>
    </i>
    <i>
      <x v="9"/>
    </i>
    <i>
      <x v="2"/>
    </i>
    <i>
      <x v="5"/>
    </i>
    <i>
      <x v="6"/>
    </i>
    <i>
      <x/>
    </i>
    <i>
      <x v="4"/>
    </i>
    <i>
      <x v="1"/>
    </i>
    <i>
      <x v="3"/>
    </i>
    <i>
      <x v="8"/>
    </i>
    <i t="grand">
      <x/>
    </i>
  </rowItems>
  <colFields count="1">
    <field x="-2"/>
  </colFields>
  <colItems count="3">
    <i>
      <x/>
    </i>
    <i i="1">
      <x v="1"/>
    </i>
    <i i="2">
      <x v="2"/>
    </i>
  </colItems>
  <pageFields count="1">
    <pageField fld="4" hier="13" name="[dim_Product].[RecordType].&amp;[Product]" cap="Product"/>
  </pageFields>
  <dataFields count="3">
    <dataField fld="3" subtotal="count" baseField="0" baseItem="0"/>
    <dataField fld="2" subtotal="count" baseField="0" baseItem="0"/>
    <dataField fld="1" subtotal="count" baseField="0" baseItem="0"/>
  </dataFields>
  <pivotHierarchies count="6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Product].[RecordType].&amp;[Produc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2" iMeasureHier="38">
      <autoFilter ref="A1">
        <filterColumn colId="0">
          <top10 val="10" filterVal="10"/>
        </filterColumn>
      </autoFilter>
    </filter>
  </filters>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Transactio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FF8C331-D835-439F-86EC-D4E61F10BD44}" name="PivotTable5"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Y5:AB16" firstHeaderRow="0" firstDataRow="1" firstDataCol="1" rowPageCount="1" colPageCount="1"/>
  <pivotFields count="5">
    <pivotField axis="axisPage" allDrilled="1" subtotalTop="0" showAll="0" dataSourceSort="1" defaultSubtotal="0" defaultAttributeDrillState="1"/>
    <pivotField axis="axisRow"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dataField="1" subtotalTop="0" showAll="0" defaultSubtotal="0"/>
  </pivotFields>
  <rowFields count="1">
    <field x="1"/>
  </rowFields>
  <rowItems count="11">
    <i>
      <x/>
    </i>
    <i>
      <x v="1"/>
    </i>
    <i>
      <x v="2"/>
    </i>
    <i>
      <x v="3"/>
    </i>
    <i>
      <x v="4"/>
    </i>
    <i>
      <x v="5"/>
    </i>
    <i>
      <x v="6"/>
    </i>
    <i>
      <x v="7"/>
    </i>
    <i>
      <x v="8"/>
    </i>
    <i>
      <x v="9"/>
    </i>
    <i t="grand">
      <x/>
    </i>
  </rowItems>
  <colFields count="1">
    <field x="-2"/>
  </colFields>
  <colItems count="3">
    <i>
      <x/>
    </i>
    <i i="1">
      <x v="1"/>
    </i>
    <i i="2">
      <x v="2"/>
    </i>
  </colItems>
  <pageFields count="1">
    <pageField fld="0" hier="24" name="[fact_Transactions].[RecordType].&amp;[Product]" cap="Product"/>
  </pageFields>
  <dataFields count="3">
    <dataField fld="2" subtotal="count" baseField="0" baseItem="0"/>
    <dataField fld="3" subtotal="count" baseField="0" baseItem="0"/>
    <dataField fld="4" subtotal="count" baseField="0" baseItem="0"/>
  </dataFields>
  <pivotHierarchies count="6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ct_Transactions].[RecordType].&amp;[Produc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count" id="2" iMeasureHier="46">
      <autoFilter ref="A1">
        <filterColumn colId="0">
          <top10 val="10" filterVal="10"/>
        </filterColumn>
      </autoFilter>
    </filter>
  </filters>
  <rowHierarchiesUsage count="1">
    <rowHierarchyUsage hierarchyUsage="1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Transactio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855B2FC-80E8-444E-8BAF-DA549115B240}" name="PivotTable4"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J5:K16" firstHeaderRow="1" firstDataRow="1" firstDataCol="1" rowPageCount="1" colPageCount="1"/>
  <pivotFields count="3">
    <pivotField axis="axisPage" allDrilled="1" subtotalTop="0" showAll="0" dataSourceSort="1" defaultSubtotal="0" defaultAttributeDrillState="1"/>
    <pivotField axis="axisRow"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s>
  <rowFields count="1">
    <field x="1"/>
  </rowFields>
  <rowItems count="11">
    <i>
      <x/>
    </i>
    <i>
      <x v="1"/>
    </i>
    <i>
      <x v="2"/>
    </i>
    <i>
      <x v="3"/>
    </i>
    <i>
      <x v="4"/>
    </i>
    <i>
      <x v="5"/>
    </i>
    <i>
      <x v="6"/>
    </i>
    <i>
      <x v="7"/>
    </i>
    <i>
      <x v="8"/>
    </i>
    <i>
      <x v="9"/>
    </i>
    <i t="grand">
      <x/>
    </i>
  </rowItems>
  <colItems count="1">
    <i/>
  </colItems>
  <pageFields count="1">
    <pageField fld="0" hier="24" name="[fact_Transactions].[RecordType].&amp;[Product]" cap="Product"/>
  </pageFields>
  <dataFields count="1">
    <dataField fld="2"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6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ct_Transactions].[RecordType].&amp;[Produc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count" id="1" iMeasureHier="38">
      <autoFilter ref="A1">
        <filterColumn colId="0">
          <top10 val="10" filterVal="10"/>
        </filterColumn>
      </autoFilter>
    </filter>
  </filters>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Transactio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5EBF21-9985-4359-95B6-980743F441B1}" name="PivotTable6"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B3:E14" firstHeaderRow="0" firstDataRow="1" firstDataCol="1"/>
  <pivotFields count="4">
    <pivotField axis="axisRow"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dataField="1" subtotalTop="0" showAll="0" defaultSubtotal="0"/>
  </pivotFields>
  <rowFields count="1">
    <field x="0"/>
  </rowFields>
  <rowItems count="11">
    <i>
      <x/>
    </i>
    <i>
      <x v="1"/>
    </i>
    <i>
      <x v="2"/>
    </i>
    <i>
      <x v="3"/>
    </i>
    <i>
      <x v="4"/>
    </i>
    <i>
      <x v="5"/>
    </i>
    <i>
      <x v="6"/>
    </i>
    <i>
      <x v="7"/>
    </i>
    <i>
      <x v="8"/>
    </i>
    <i>
      <x v="9"/>
    </i>
    <i t="grand">
      <x/>
    </i>
  </rowItems>
  <colFields count="1">
    <field x="-2"/>
  </colFields>
  <colItems count="3">
    <i>
      <x/>
    </i>
    <i i="1">
      <x v="1"/>
    </i>
    <i i="2">
      <x v="2"/>
    </i>
  </colItems>
  <dataFields count="3">
    <dataField fld="3" subtotal="count" baseField="0" baseItem="0"/>
    <dataField fld="1" subtotal="count" baseField="0" baseItem="0"/>
    <dataField fld="2" subtotal="count" baseField="0" baseItem="0"/>
  </dataFields>
  <pivotHierarchies count="6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38">
      <autoFilter ref="A1">
        <filterColumn colId="0">
          <top10 val="10" filterVal="10"/>
        </filterColumn>
      </autoFilter>
    </filter>
  </filters>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Transactio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B13EA5D-07C1-41A8-A1F6-7B979A0C27CA}" name="PivotTable7"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I4:J15" firstHeaderRow="1" firstDataRow="1" firstDataCol="1"/>
  <pivotFields count="2">
    <pivotField axis="axisRow"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s>
  <rowFields count="1">
    <field x="0"/>
  </rowFields>
  <rowItems count="11">
    <i>
      <x/>
    </i>
    <i>
      <x v="1"/>
    </i>
    <i>
      <x v="2"/>
    </i>
    <i>
      <x v="3"/>
    </i>
    <i>
      <x v="4"/>
    </i>
    <i>
      <x v="5"/>
    </i>
    <i>
      <x v="6"/>
    </i>
    <i>
      <x v="7"/>
    </i>
    <i>
      <x v="8"/>
    </i>
    <i>
      <x v="9"/>
    </i>
    <i t="grand">
      <x/>
    </i>
  </rowItems>
  <colItems count="1">
    <i/>
  </colItems>
  <dataFields count="1">
    <dataField fld="1"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6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2" iMeasureHier="38">
      <autoFilter ref="A1">
        <filterColumn colId="0">
          <top10 val="10" filterVal="10"/>
        </filterColumn>
      </autoFilter>
    </filter>
  </filters>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Transactio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3584BB6-D726-4F18-9015-E309D2FE20F5}" name="PivotTable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4:E15" firstHeaderRow="0" firstDataRow="1" firstDataCol="1"/>
  <pivotFields count="4">
    <pivotField axis="axisRow"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dataField="1" subtotalTop="0" showAll="0" defaultSubtotal="0"/>
  </pivotFields>
  <rowFields count="1">
    <field x="0"/>
  </rowFields>
  <rowItems count="11">
    <i>
      <x/>
    </i>
    <i>
      <x v="1"/>
    </i>
    <i>
      <x v="2"/>
    </i>
    <i>
      <x v="3"/>
    </i>
    <i>
      <x v="4"/>
    </i>
    <i>
      <x v="5"/>
    </i>
    <i>
      <x v="6"/>
    </i>
    <i>
      <x v="7"/>
    </i>
    <i>
      <x v="8"/>
    </i>
    <i>
      <x v="9"/>
    </i>
    <i t="grand">
      <x/>
    </i>
  </rowItems>
  <colFields count="1">
    <field x="-2"/>
  </colFields>
  <colItems count="3">
    <i>
      <x/>
    </i>
    <i i="1">
      <x v="1"/>
    </i>
    <i i="2">
      <x v="2"/>
    </i>
  </colItems>
  <dataFields count="3">
    <dataField fld="3" subtotal="count" baseField="0" baseItem="0"/>
    <dataField fld="2" subtotal="count" baseField="0" baseItem="0"/>
    <dataField fld="1" subtotal="count" baseField="0" baseItem="0"/>
  </dataFields>
  <pivotHierarchies count="6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38">
      <autoFilter ref="A1">
        <filterColumn colId="0">
          <top10 val="10" filterVal="10"/>
        </filterColumn>
      </autoFilter>
    </filter>
  </filters>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Transactio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CEA9D2C-CF7E-4A41-8AAE-E5CD0CC92073}"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7:H15" firstHeaderRow="0" firstDataRow="1" firstDataCol="1"/>
  <pivotFields count="4">
    <pivotField axis="axisRow" allDrilled="1" subtotalTop="0" showAll="0" dataSourceSort="1" defaultSubtotal="0" defaultAttributeDrillState="1">
      <items count="7">
        <item x="0"/>
        <item x="1"/>
        <item x="2"/>
        <item x="3"/>
        <item x="4"/>
        <item x="5"/>
        <item x="6"/>
      </items>
    </pivotField>
    <pivotField dataField="1" subtotalTop="0" showAll="0" defaultSubtotal="0"/>
    <pivotField dataField="1" subtotalTop="0" showAll="0" defaultSubtotal="0"/>
    <pivotField dataField="1" subtotalTop="0" showAll="0" defaultSubtotal="0"/>
  </pivotFields>
  <rowFields count="1">
    <field x="0"/>
  </rowFields>
  <rowItems count="8">
    <i>
      <x/>
    </i>
    <i>
      <x v="1"/>
    </i>
    <i>
      <x v="2"/>
    </i>
    <i>
      <x v="3"/>
    </i>
    <i>
      <x v="4"/>
    </i>
    <i>
      <x v="5"/>
    </i>
    <i>
      <x v="6"/>
    </i>
    <i t="grand">
      <x/>
    </i>
  </rowItems>
  <colFields count="1">
    <field x="-2"/>
  </colFields>
  <colItems count="3">
    <i>
      <x/>
    </i>
    <i i="1">
      <x v="1"/>
    </i>
    <i i="2">
      <x v="2"/>
    </i>
  </colItems>
  <dataFields count="3">
    <dataField fld="3" subtotal="count" baseField="0" baseItem="0"/>
    <dataField fld="1" subtotal="count" baseField="0" baseItem="0"/>
    <dataField fld="2" subtotal="count" baseField="0" baseItem="0"/>
  </dataFields>
  <pivotHierarchies count="6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fact_Transactio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A1044A1-8A19-4A0E-8AEC-C619007D6798}" name="PivotTable1"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C29" firstHeaderRow="1" firstDataRow="1" firstDataCol="1"/>
  <pivotFields count="2">
    <pivotField axis="axisRow" allDrilled="1" subtotalTop="0" showAll="0" dataSourceSort="1" defaultSubtotal="0" defaultAttributeDrillState="1">
      <items count="25">
        <item x="0"/>
        <item x="1"/>
        <item x="2"/>
        <item x="3"/>
        <item x="4"/>
        <item x="5"/>
        <item x="6"/>
        <item x="7"/>
        <item x="8"/>
        <item x="9"/>
        <item x="10"/>
        <item x="11"/>
        <item x="12"/>
        <item x="13"/>
        <item x="14"/>
        <item x="15"/>
        <item x="16"/>
        <item x="17"/>
        <item x="18"/>
        <item x="19"/>
        <item x="20"/>
        <item x="21"/>
        <item x="22"/>
        <item x="23"/>
        <item x="24"/>
      </items>
    </pivotField>
    <pivotField dataField="1" subtotalTop="0" showAll="0" defaultSubtotal="0"/>
  </pivotFields>
  <rowFields count="1">
    <field x="0"/>
  </rowFields>
  <rowItems count="26">
    <i>
      <x/>
    </i>
    <i>
      <x v="1"/>
    </i>
    <i>
      <x v="2"/>
    </i>
    <i>
      <x v="3"/>
    </i>
    <i>
      <x v="4"/>
    </i>
    <i>
      <x v="5"/>
    </i>
    <i>
      <x v="6"/>
    </i>
    <i>
      <x v="7"/>
    </i>
    <i>
      <x v="8"/>
    </i>
    <i>
      <x v="9"/>
    </i>
    <i>
      <x v="10"/>
    </i>
    <i>
      <x v="11"/>
    </i>
    <i>
      <x v="12"/>
    </i>
    <i>
      <x v="13"/>
    </i>
    <i>
      <x v="14"/>
    </i>
    <i>
      <x v="15"/>
    </i>
    <i>
      <x v="16"/>
    </i>
    <i>
      <x v="17"/>
    </i>
    <i>
      <x v="18"/>
    </i>
    <i>
      <x v="19"/>
    </i>
    <i>
      <x v="20"/>
    </i>
    <i>
      <x v="21"/>
    </i>
    <i>
      <x v="22"/>
    </i>
    <i>
      <x v="23"/>
    </i>
    <i>
      <x v="24"/>
    </i>
    <i t="grand">
      <x/>
    </i>
  </rowItems>
  <colItems count="1">
    <i/>
  </colItems>
  <dataFields count="1">
    <dataField fld="1" subtotal="count" baseField="0" baseItem="0"/>
  </dataFields>
  <pivotHierarchies count="6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Transactio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2B8064C-23A6-4407-BAF9-AA3DDF7ABB52}" name="PivotTable1" cacheId="8" applyNumberFormats="0" applyBorderFormats="0" applyFontFormats="0" applyPatternFormats="0" applyAlignmentFormats="0" applyWidthHeightFormats="1" dataCaption="Values" tag="97da1fd5-2e8b-47ce-9864-4bacda2cf0b5" updatedVersion="8" minRefreshableVersion="3" useAutoFormatting="1" itemPrintTitles="1" createdVersion="5" indent="0" outline="1" outlineData="1" multipleFieldFilters="0">
  <location ref="B3:F48" firstHeaderRow="1" firstDataRow="2" firstDataCol="1"/>
  <pivotFields count="3">
    <pivotField axis="axisRow" allDrilled="1" subtotalTop="0" showAll="0" dataSourceSort="1" defaultSubtotal="0" defaultAttributeDrillState="1">
      <items count="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s>
    </pivotField>
    <pivotField dataField="1" subtotalTop="0" showAll="0" defaultSubtotal="0"/>
    <pivotField axis="axisCol" allDrilled="1" subtotalTop="0" showAll="0" dataSourceSort="1" defaultSubtotal="0" defaultAttributeDrillState="1">
      <items count="3">
        <item x="0"/>
        <item x="1"/>
        <item x="2"/>
      </items>
    </pivotField>
  </pivotFields>
  <rowFields count="1">
    <field x="0"/>
  </rowFields>
  <rowItems count="4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t="grand">
      <x/>
    </i>
  </rowItems>
  <colFields count="1">
    <field x="2"/>
  </colFields>
  <colItems count="4">
    <i>
      <x/>
    </i>
    <i>
      <x v="1"/>
    </i>
    <i>
      <x v="2"/>
    </i>
    <i t="grand">
      <x/>
    </i>
  </colItems>
  <dataFields count="1">
    <dataField name="Sum of Revenue" fld="1" baseField="0" baseItem="0"/>
  </dataFields>
  <pivotHierarchies count="6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Country]"/>
        <x15:activeTabTopLevelEntity name="[fact_Transaction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59A7F9A-CA77-4078-B1EF-5A165DFAB677}" name="Table1" displayName="Table1" ref="Z4:AD7" totalsRowShown="0" headerRowDxfId="4">
  <autoFilter ref="Z4:AD7" xr:uid="{F59A7F9A-CA77-4078-B1EF-5A165DFAB677}"/>
  <tableColumns count="5">
    <tableColumn id="1" xr3:uid="{1C6F2C38-6A3A-444F-81A5-F9564500F101}" name="Product"/>
    <tableColumn id="2" xr3:uid="{62BB994E-8FB3-478C-AE7D-100526B88A27}" name="Price"/>
    <tableColumn id="3" xr3:uid="{7AB321F0-A0B1-480A-B65D-83E1CB15327B}" name="Quantity"/>
    <tableColumn id="4" xr3:uid="{742E0FD4-00B4-465D-9794-3A34FDC1D097}" name="Revenue" dataDxfId="3">
      <calculatedColumnFormula>Table1[[#This Row],[Price]]*Table1[[#This Row],[Quantity]]</calculatedColumnFormula>
    </tableColumn>
    <tableColumn id="5" xr3:uid="{21726BC3-7D16-4442-9BB5-6F3A6AF32302}" name="Final Revenue" dataDxfId="2">
      <calculatedColumnFormula>Table1[[#This Row],[Revenue]]*(1-Discounted_Rate)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4"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ivotTable" Target="../pivotTables/pivotTable9.xml"/><Relationship Id="rId1"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10.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11.x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rinterSettings" Target="../printerSettings/printerSettings3.bin"/><Relationship Id="rId1" Type="http://schemas.openxmlformats.org/officeDocument/2006/relationships/pivotTable" Target="../pivotTables/pivotTable12.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6"/>
  <sheetViews>
    <sheetView showGridLines="0" workbookViewId="0">
      <selection activeCell="K6" sqref="K6"/>
    </sheetView>
  </sheetViews>
  <sheetFormatPr defaultRowHeight="14.5"/>
  <cols>
    <col min="1" max="1" width="28.6328125" customWidth="1"/>
    <col min="2" max="4" width="18.6328125" customWidth="1"/>
  </cols>
  <sheetData>
    <row r="1" spans="1:4" ht="30" customHeight="1">
      <c r="A1" s="8" t="s">
        <v>0</v>
      </c>
    </row>
    <row r="2" spans="1:4" ht="22" customHeight="1">
      <c r="A2" s="12" t="s">
        <v>1</v>
      </c>
      <c r="B2" s="13"/>
      <c r="C2" s="13"/>
      <c r="D2" s="13"/>
    </row>
    <row r="3" spans="1:4">
      <c r="A3" s="9"/>
    </row>
    <row r="4" spans="1:4">
      <c r="A4" s="10" t="s">
        <v>2</v>
      </c>
      <c r="B4" s="7"/>
      <c r="C4" s="7"/>
      <c r="D4" s="7"/>
    </row>
    <row r="5" spans="1:4" ht="87">
      <c r="A5" s="11" t="s">
        <v>3</v>
      </c>
    </row>
    <row r="6" spans="1:4">
      <c r="A6" s="9"/>
    </row>
    <row r="7" spans="1:4">
      <c r="A7" s="10" t="s">
        <v>4</v>
      </c>
      <c r="B7" s="7"/>
      <c r="C7" s="7"/>
      <c r="D7" s="7"/>
    </row>
    <row r="8" spans="1:4">
      <c r="A8" s="9" t="s">
        <v>5</v>
      </c>
    </row>
    <row r="9" spans="1:4">
      <c r="A9" s="9"/>
    </row>
    <row r="10" spans="1:4">
      <c r="A10" s="10" t="s">
        <v>6</v>
      </c>
      <c r="B10" s="7"/>
      <c r="C10" s="7"/>
      <c r="D10" s="7"/>
    </row>
    <row r="11" spans="1:4">
      <c r="A11" s="14" t="s">
        <v>7</v>
      </c>
    </row>
    <row r="12" spans="1:4">
      <c r="A12" s="14" t="s">
        <v>8</v>
      </c>
    </row>
    <row r="13" spans="1:4">
      <c r="A13" s="14" t="s">
        <v>9</v>
      </c>
    </row>
    <row r="14" spans="1:4">
      <c r="A14" s="14" t="s">
        <v>10</v>
      </c>
    </row>
    <row r="15" spans="1:4">
      <c r="A15" s="14" t="s">
        <v>11</v>
      </c>
    </row>
    <row r="16" spans="1:4">
      <c r="A16" s="14" t="s">
        <v>12</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07079-A29D-4C0A-B1A8-E36C46F01438}">
  <dimension ref="A1:AF18"/>
  <sheetViews>
    <sheetView topLeftCell="V1" workbookViewId="0">
      <selection activeCell="AB15" sqref="AB15"/>
    </sheetView>
  </sheetViews>
  <sheetFormatPr defaultRowHeight="14.5"/>
  <cols>
    <col min="1" max="1" width="10.7265625" bestFit="1" customWidth="1"/>
    <col min="2" max="2" width="10.08984375" bestFit="1" customWidth="1"/>
    <col min="5" max="5" width="15.453125" customWidth="1"/>
    <col min="6" max="6" width="14.81640625" customWidth="1"/>
    <col min="7" max="7" width="12.90625" customWidth="1"/>
    <col min="17" max="17" width="13.6328125" customWidth="1"/>
    <col min="20" max="20" width="15.36328125" customWidth="1"/>
    <col min="26" max="26" width="15" customWidth="1"/>
    <col min="27" max="27" width="9.7265625" customWidth="1"/>
    <col min="28" max="28" width="13" customWidth="1"/>
    <col min="29" max="29" width="14.6328125" customWidth="1"/>
    <col min="30" max="30" width="19.26953125" customWidth="1"/>
    <col min="32" max="32" width="16.36328125" customWidth="1"/>
  </cols>
  <sheetData>
    <row r="1" spans="1:32">
      <c r="A1" t="s">
        <v>13</v>
      </c>
      <c r="B1" t="s">
        <v>14</v>
      </c>
      <c r="C1" t="s">
        <v>15</v>
      </c>
      <c r="D1" t="s">
        <v>16</v>
      </c>
      <c r="E1" t="s">
        <v>21</v>
      </c>
      <c r="F1" t="s">
        <v>20</v>
      </c>
    </row>
    <row r="2" spans="1:32">
      <c r="A2" t="s">
        <v>17</v>
      </c>
      <c r="B2">
        <v>50</v>
      </c>
      <c r="C2">
        <v>3</v>
      </c>
      <c r="D2">
        <f>B2*C2</f>
        <v>150</v>
      </c>
      <c r="E2">
        <f>D2*Fee_Rate</f>
        <v>7.5</v>
      </c>
      <c r="F2" s="1">
        <v>0.05</v>
      </c>
      <c r="H2">
        <v>1</v>
      </c>
      <c r="I2">
        <v>2</v>
      </c>
      <c r="J2">
        <v>3</v>
      </c>
      <c r="K2">
        <v>4</v>
      </c>
      <c r="L2">
        <v>5</v>
      </c>
    </row>
    <row r="3" spans="1:32">
      <c r="A3" t="s">
        <v>18</v>
      </c>
      <c r="B3">
        <v>80</v>
      </c>
      <c r="C3">
        <v>2</v>
      </c>
      <c r="D3">
        <f t="shared" ref="D3:D4" si="0">B3*C3</f>
        <v>160</v>
      </c>
      <c r="E3">
        <f>D3*Fee_Rate</f>
        <v>8</v>
      </c>
      <c r="G3">
        <v>1</v>
      </c>
      <c r="H3">
        <f>$G3*H$2</f>
        <v>1</v>
      </c>
      <c r="I3">
        <f t="shared" ref="I3:L7" si="1">$G3*I$2</f>
        <v>2</v>
      </c>
      <c r="J3">
        <f t="shared" si="1"/>
        <v>3</v>
      </c>
      <c r="K3">
        <f t="shared" si="1"/>
        <v>4</v>
      </c>
      <c r="L3">
        <f t="shared" si="1"/>
        <v>5</v>
      </c>
    </row>
    <row r="4" spans="1:32">
      <c r="A4" t="s">
        <v>19</v>
      </c>
      <c r="B4">
        <v>25</v>
      </c>
      <c r="C4">
        <v>5</v>
      </c>
      <c r="D4">
        <f t="shared" si="0"/>
        <v>125</v>
      </c>
      <c r="E4">
        <f>D4*Fee_Rate</f>
        <v>6.25</v>
      </c>
      <c r="G4">
        <v>2</v>
      </c>
      <c r="H4">
        <f t="shared" ref="H4:H7" si="2">$G4*H$2</f>
        <v>2</v>
      </c>
      <c r="I4">
        <f t="shared" si="1"/>
        <v>4</v>
      </c>
      <c r="J4">
        <f t="shared" si="1"/>
        <v>6</v>
      </c>
      <c r="K4">
        <f t="shared" si="1"/>
        <v>8</v>
      </c>
      <c r="L4">
        <f t="shared" si="1"/>
        <v>10</v>
      </c>
      <c r="R4" t="s">
        <v>32</v>
      </c>
      <c r="S4" t="s">
        <v>33</v>
      </c>
      <c r="T4" t="s">
        <v>34</v>
      </c>
      <c r="U4" t="s">
        <v>35</v>
      </c>
      <c r="W4" t="s">
        <v>32</v>
      </c>
      <c r="Z4" s="18" t="s">
        <v>39</v>
      </c>
      <c r="AA4" s="18" t="s">
        <v>14</v>
      </c>
      <c r="AB4" s="18" t="s">
        <v>40</v>
      </c>
      <c r="AC4" s="18" t="s">
        <v>44</v>
      </c>
      <c r="AD4" s="18" t="s">
        <v>45</v>
      </c>
      <c r="AF4" s="18" t="s">
        <v>46</v>
      </c>
    </row>
    <row r="5" spans="1:32">
      <c r="G5">
        <v>3</v>
      </c>
      <c r="H5">
        <f t="shared" si="2"/>
        <v>3</v>
      </c>
      <c r="I5">
        <f t="shared" si="1"/>
        <v>6</v>
      </c>
      <c r="J5">
        <f t="shared" si="1"/>
        <v>9</v>
      </c>
      <c r="K5">
        <f t="shared" si="1"/>
        <v>12</v>
      </c>
      <c r="L5">
        <f t="shared" si="1"/>
        <v>15</v>
      </c>
      <c r="W5" t="s">
        <v>33</v>
      </c>
      <c r="Z5" t="s">
        <v>41</v>
      </c>
      <c r="AA5">
        <v>80</v>
      </c>
      <c r="AB5">
        <v>4</v>
      </c>
      <c r="AC5">
        <f>Table1[[#This Row],[Price]]*Table1[[#This Row],[Quantity]]</f>
        <v>320</v>
      </c>
      <c r="AD5">
        <f>Table1[[#This Row],[Revenue]]*(1-Discounted_Rate)</f>
        <v>288</v>
      </c>
      <c r="AF5" s="1">
        <v>0.1</v>
      </c>
    </row>
    <row r="6" spans="1:32">
      <c r="G6">
        <v>4</v>
      </c>
      <c r="H6">
        <f t="shared" si="2"/>
        <v>4</v>
      </c>
      <c r="I6">
        <f t="shared" si="1"/>
        <v>8</v>
      </c>
      <c r="J6">
        <f t="shared" si="1"/>
        <v>12</v>
      </c>
      <c r="K6">
        <f t="shared" si="1"/>
        <v>16</v>
      </c>
      <c r="L6">
        <f t="shared" si="1"/>
        <v>20</v>
      </c>
      <c r="W6" t="s">
        <v>34</v>
      </c>
      <c r="Z6" t="s">
        <v>42</v>
      </c>
      <c r="AA6">
        <v>120</v>
      </c>
      <c r="AB6">
        <v>2</v>
      </c>
      <c r="AC6">
        <f>Table1[[#This Row],[Price]]*Table1[[#This Row],[Quantity]]</f>
        <v>240</v>
      </c>
      <c r="AD6">
        <f>Table1[[#This Row],[Revenue]]*(1-Discounted_Rate)</f>
        <v>216</v>
      </c>
    </row>
    <row r="7" spans="1:32">
      <c r="E7">
        <v>100</v>
      </c>
      <c r="G7">
        <v>5</v>
      </c>
      <c r="H7">
        <f t="shared" si="2"/>
        <v>5</v>
      </c>
      <c r="I7">
        <f t="shared" si="1"/>
        <v>10</v>
      </c>
      <c r="J7">
        <f t="shared" si="1"/>
        <v>15</v>
      </c>
      <c r="K7">
        <f t="shared" si="1"/>
        <v>20</v>
      </c>
      <c r="L7">
        <f t="shared" si="1"/>
        <v>25</v>
      </c>
      <c r="O7" t="s">
        <v>26</v>
      </c>
      <c r="Q7" s="16" t="s">
        <v>31</v>
      </c>
      <c r="W7" t="s">
        <v>35</v>
      </c>
      <c r="Z7" t="s">
        <v>43</v>
      </c>
      <c r="AA7">
        <v>40</v>
      </c>
      <c r="AB7">
        <v>6</v>
      </c>
      <c r="AC7">
        <f>Table1[[#This Row],[Price]]*Table1[[#This Row],[Quantity]]</f>
        <v>240</v>
      </c>
      <c r="AD7">
        <f>Table1[[#This Row],[Revenue]]*(1-Discounted_Rate)</f>
        <v>216</v>
      </c>
    </row>
    <row r="8" spans="1:32">
      <c r="O8" t="s">
        <v>27</v>
      </c>
      <c r="T8" t="s">
        <v>38</v>
      </c>
    </row>
    <row r="9" spans="1:32">
      <c r="O9" t="s">
        <v>28</v>
      </c>
      <c r="T9" t="s">
        <v>38</v>
      </c>
    </row>
    <row r="10" spans="1:32">
      <c r="A10" s="2">
        <v>0.25</v>
      </c>
      <c r="B10">
        <f>A10*100</f>
        <v>25</v>
      </c>
      <c r="E10">
        <v>7.5</v>
      </c>
      <c r="G10" t="s">
        <v>22</v>
      </c>
      <c r="H10" s="1">
        <v>0.1</v>
      </c>
      <c r="I10" s="1">
        <v>0.2</v>
      </c>
      <c r="J10" s="1">
        <v>0.3</v>
      </c>
      <c r="O10" t="s">
        <v>29</v>
      </c>
      <c r="T10" t="s">
        <v>36</v>
      </c>
    </row>
    <row r="11" spans="1:32">
      <c r="A11" s="3">
        <v>1250.5</v>
      </c>
      <c r="G11">
        <v>100</v>
      </c>
      <c r="H11">
        <f>$G11*(1-H$10)</f>
        <v>90</v>
      </c>
      <c r="I11">
        <f>$G11*(1-I$10)</f>
        <v>80</v>
      </c>
      <c r="J11">
        <f>$G11*(1-J$10)</f>
        <v>70</v>
      </c>
      <c r="O11" t="s">
        <v>30</v>
      </c>
      <c r="T11" t="s">
        <v>38</v>
      </c>
    </row>
    <row r="12" spans="1:32">
      <c r="A12" s="4">
        <v>45800</v>
      </c>
      <c r="B12" s="4">
        <f>A12+7</f>
        <v>45807</v>
      </c>
      <c r="C12">
        <f>B12-A12</f>
        <v>7</v>
      </c>
      <c r="G12">
        <v>200</v>
      </c>
      <c r="H12">
        <f>G12*(1-H$10)</f>
        <v>180</v>
      </c>
      <c r="I12">
        <f>$G12*(1-I$10)</f>
        <v>160</v>
      </c>
      <c r="J12">
        <f>$G12*(1-J$10)</f>
        <v>140</v>
      </c>
      <c r="T12" t="s">
        <v>37</v>
      </c>
    </row>
    <row r="13" spans="1:32">
      <c r="G13">
        <v>300</v>
      </c>
      <c r="H13">
        <f>G13*(1-H$10)</f>
        <v>270</v>
      </c>
      <c r="I13">
        <f>$G13*(1-I$10)</f>
        <v>240</v>
      </c>
      <c r="J13">
        <f>$G13*(1-J$10)</f>
        <v>210</v>
      </c>
    </row>
    <row r="14" spans="1:32">
      <c r="A14" s="5">
        <v>1250000</v>
      </c>
    </row>
    <row r="15" spans="1:32">
      <c r="A15" s="6">
        <v>425600</v>
      </c>
    </row>
    <row r="17" spans="6:7">
      <c r="F17" s="16" t="s">
        <v>23</v>
      </c>
      <c r="G17" s="16" t="s">
        <v>24</v>
      </c>
    </row>
    <row r="18" spans="6:7">
      <c r="F18" s="15">
        <v>10001</v>
      </c>
      <c r="G18" t="s">
        <v>25</v>
      </c>
    </row>
  </sheetData>
  <conditionalFormatting sqref="Z4:AD7">
    <cfRule type="expression" dxfId="1" priority="1">
      <formula>$AB5&gt;=4</formula>
    </cfRule>
    <cfRule type="expression" dxfId="0" priority="2">
      <formula>$AB6&gt;=4</formula>
    </cfRule>
    <cfRule type="expression" priority="3">
      <formula>$AB6&gt;=4</formula>
    </cfRule>
    <cfRule type="expression" priority="4">
      <formula>$AB$4:$AB$7&gt;4</formula>
    </cfRule>
    <cfRule type="expression" priority="5">
      <formula>"Quantity&gt;4"</formula>
    </cfRule>
  </conditionalFormatting>
  <dataValidations count="2">
    <dataValidation type="list" allowBlank="1" showInputMessage="1" showErrorMessage="1" promptTitle="Order Status" prompt="Select a status from the dropdown list." sqref="G18" xr:uid="{0799981A-581B-4D3F-B7C6-07D2800B20B7}">
      <formula1>"Pending,Processing,Shipped,Cancelled"</formula1>
    </dataValidation>
    <dataValidation type="list" allowBlank="1" showInputMessage="1" showErrorMessage="1" sqref="Q8" xr:uid="{50F2235D-32F2-4677-8E33-5A1F7CAAE3C3}">
      <formula1>$O$8:$O$11</formula1>
    </dataValidation>
  </dataValidations>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DD517C-97CD-45B8-9429-024F5A3467B1}">
  <dimension ref="A1:Z18"/>
  <sheetViews>
    <sheetView topLeftCell="S6" workbookViewId="0">
      <selection activeCell="Y16" sqref="Y16"/>
    </sheetView>
  </sheetViews>
  <sheetFormatPr defaultRowHeight="14.5"/>
  <cols>
    <col min="1" max="1" width="16" customWidth="1"/>
    <col min="2" max="2" width="15.90625" customWidth="1"/>
    <col min="3" max="3" width="18" customWidth="1"/>
    <col min="4" max="4" width="15.6328125" customWidth="1"/>
    <col min="5" max="5" width="24.36328125" customWidth="1"/>
    <col min="6" max="6" width="21.1796875" customWidth="1"/>
    <col min="7" max="7" width="24.54296875" customWidth="1"/>
    <col min="10" max="10" width="22.08984375" customWidth="1"/>
    <col min="11" max="11" width="21.54296875" customWidth="1"/>
    <col min="12" max="12" width="26.90625" customWidth="1"/>
    <col min="14" max="14" width="28.36328125" customWidth="1"/>
    <col min="15" max="15" width="25.81640625" customWidth="1"/>
    <col min="16" max="16" width="15.36328125" customWidth="1"/>
    <col min="17" max="17" width="22.453125" customWidth="1"/>
    <col min="18" max="18" width="23.08984375" customWidth="1"/>
    <col min="22" max="22" width="21.6328125" customWidth="1"/>
    <col min="23" max="23" width="14.7265625" customWidth="1"/>
    <col min="24" max="24" width="21.08984375" customWidth="1"/>
  </cols>
  <sheetData>
    <row r="1" spans="1:26">
      <c r="A1" s="19" t="s">
        <v>13</v>
      </c>
      <c r="B1" s="19" t="s">
        <v>44</v>
      </c>
      <c r="C1" s="19" t="s">
        <v>47</v>
      </c>
      <c r="D1" s="19" t="s">
        <v>50</v>
      </c>
      <c r="E1" s="19" t="s">
        <v>51</v>
      </c>
      <c r="F1" s="19" t="s">
        <v>52</v>
      </c>
      <c r="G1" s="19" t="s">
        <v>53</v>
      </c>
      <c r="J1" s="18" t="s">
        <v>59</v>
      </c>
      <c r="K1" s="18" t="s">
        <v>60</v>
      </c>
      <c r="L1" s="18" t="s">
        <v>61</v>
      </c>
      <c r="N1" s="18" t="s">
        <v>70</v>
      </c>
      <c r="O1" s="18" t="s">
        <v>60</v>
      </c>
      <c r="Q1" s="18" t="s">
        <v>72</v>
      </c>
      <c r="R1" s="18" t="s">
        <v>73</v>
      </c>
      <c r="V1" s="22" t="s">
        <v>39</v>
      </c>
      <c r="W1" s="22" t="s">
        <v>61</v>
      </c>
      <c r="X1" s="22" t="s">
        <v>44</v>
      </c>
    </row>
    <row r="2" spans="1:26">
      <c r="A2" s="17" t="s">
        <v>48</v>
      </c>
      <c r="B2" s="17">
        <v>850</v>
      </c>
      <c r="C2" s="17" t="str">
        <f>IF(B2&gt;=750,"High","Low")</f>
        <v>High</v>
      </c>
      <c r="D2" s="17">
        <v>12</v>
      </c>
      <c r="E2" s="17" t="str">
        <f>IF(AND(B2&gt;=750,D2&gt;=10),"Strong","Needs Review")</f>
        <v>Strong</v>
      </c>
      <c r="F2" s="17" t="str">
        <f>IF(OR(B2&gt;=750,D2&gt;=10),"Priority","Normal")</f>
        <v>Priority</v>
      </c>
      <c r="G2" t="str">
        <f>_xlfn.IFS(B2&gt;=1000,"Excellent",B2&gt;=750,"High",B2&gt;=500,"Medium",TRUE,"Low")</f>
        <v>High</v>
      </c>
      <c r="J2" s="21" t="s">
        <v>62</v>
      </c>
      <c r="K2" s="21" t="s">
        <v>17</v>
      </c>
      <c r="L2" s="21" t="s">
        <v>63</v>
      </c>
      <c r="N2" t="s">
        <v>65</v>
      </c>
      <c r="O2" t="str">
        <f>VLOOKUP(N2,J2:L6,2,FALSE)</f>
        <v>Mouse</v>
      </c>
      <c r="Q2" t="s">
        <v>74</v>
      </c>
      <c r="R2" t="str">
        <f>TRIM(Q2)</f>
        <v>Samara Pires</v>
      </c>
      <c r="V2" s="20" t="s">
        <v>48</v>
      </c>
      <c r="W2" s="20" t="s">
        <v>57</v>
      </c>
      <c r="X2" s="20">
        <v>850</v>
      </c>
      <c r="Z2" t="s">
        <v>80</v>
      </c>
    </row>
    <row r="3" spans="1:26">
      <c r="A3" s="17" t="s">
        <v>49</v>
      </c>
      <c r="B3" s="17">
        <v>1200</v>
      </c>
      <c r="C3" s="17" t="str">
        <f t="shared" ref="C3:C5" si="0">IF(B3&gt;=750,"High","Low")</f>
        <v>High</v>
      </c>
      <c r="D3" s="17">
        <v>7</v>
      </c>
      <c r="E3" s="17" t="str">
        <f t="shared" ref="E3:E5" si="1">IF(AND(B3&gt;=750,D3&gt;=10),"Strong","Needs Review")</f>
        <v>Needs Review</v>
      </c>
      <c r="F3" s="17" t="str">
        <f t="shared" ref="F3:F5" si="2">IF(OR(B3&gt;=750,D3&gt;=10),"Priority","Normal")</f>
        <v>Priority</v>
      </c>
      <c r="G3" t="str">
        <f t="shared" ref="G3:G5" si="3">_xlfn.IFS(B3&gt;=1000,"Excellent",B3&gt;=750,"High",B3&gt;=500,"Medium",TRUE,"Low")</f>
        <v>Excellent</v>
      </c>
      <c r="J3" s="21" t="s">
        <v>64</v>
      </c>
      <c r="K3" s="21" t="s">
        <v>18</v>
      </c>
      <c r="L3" s="21" t="s">
        <v>57</v>
      </c>
      <c r="O3" t="str">
        <f>IFERROR(INDEX(K2:K6,MATCH(N2,J2:J6,0)),"Product Not Found")</f>
        <v>Mouse</v>
      </c>
      <c r="V3" s="20" t="s">
        <v>49</v>
      </c>
      <c r="W3" s="20" t="s">
        <v>57</v>
      </c>
      <c r="X3" s="20">
        <v>1200</v>
      </c>
    </row>
    <row r="4" spans="1:26">
      <c r="A4" s="17" t="s">
        <v>18</v>
      </c>
      <c r="B4" s="17">
        <v>450</v>
      </c>
      <c r="C4" s="17" t="str">
        <f t="shared" si="0"/>
        <v>Low</v>
      </c>
      <c r="D4" s="17">
        <v>15</v>
      </c>
      <c r="E4" s="17" t="str">
        <f t="shared" si="1"/>
        <v>Needs Review</v>
      </c>
      <c r="F4" s="17" t="str">
        <f t="shared" si="2"/>
        <v>Priority</v>
      </c>
      <c r="G4" t="str">
        <f t="shared" si="3"/>
        <v>Low</v>
      </c>
      <c r="J4" s="21" t="s">
        <v>65</v>
      </c>
      <c r="K4" s="21" t="s">
        <v>19</v>
      </c>
      <c r="L4" s="21" t="s">
        <v>57</v>
      </c>
      <c r="O4" t="str">
        <f>INDEX(K2:K6,3)</f>
        <v>Mouse</v>
      </c>
      <c r="V4" s="20" t="s">
        <v>79</v>
      </c>
      <c r="W4" s="20" t="s">
        <v>58</v>
      </c>
      <c r="X4" s="20">
        <v>600</v>
      </c>
    </row>
    <row r="5" spans="1:26">
      <c r="A5" s="17" t="s">
        <v>41</v>
      </c>
      <c r="B5" s="17">
        <v>700</v>
      </c>
      <c r="C5" s="17" t="str">
        <f t="shared" si="0"/>
        <v>Low</v>
      </c>
      <c r="D5" s="17">
        <v>11</v>
      </c>
      <c r="E5" s="17" t="str">
        <f t="shared" si="1"/>
        <v>Needs Review</v>
      </c>
      <c r="F5" s="17" t="str">
        <f t="shared" si="2"/>
        <v>Priority</v>
      </c>
      <c r="G5" t="str">
        <f t="shared" si="3"/>
        <v>Medium</v>
      </c>
      <c r="J5" s="21" t="s">
        <v>66</v>
      </c>
      <c r="K5" s="21" t="s">
        <v>67</v>
      </c>
      <c r="L5" s="21" t="s">
        <v>68</v>
      </c>
      <c r="Q5" t="s">
        <v>75</v>
      </c>
      <c r="V5" s="20" t="s">
        <v>18</v>
      </c>
      <c r="W5" s="20" t="s">
        <v>57</v>
      </c>
      <c r="X5" s="20">
        <v>450</v>
      </c>
    </row>
    <row r="6" spans="1:26">
      <c r="J6" s="21" t="s">
        <v>69</v>
      </c>
      <c r="K6" s="21" t="s">
        <v>49</v>
      </c>
      <c r="L6" s="21" t="s">
        <v>57</v>
      </c>
      <c r="O6" t="str">
        <f>INDEX(K2:K6,MATCH(N2,J2:J6,0))</f>
        <v>Mouse</v>
      </c>
      <c r="R6" t="s">
        <v>76</v>
      </c>
      <c r="T6">
        <f>FIND("-",Q5)</f>
        <v>4</v>
      </c>
    </row>
    <row r="7" spans="1:26">
      <c r="Q7" t="str">
        <f>RIGHT(Q5,5)</f>
        <v>45821</v>
      </c>
    </row>
    <row r="8" spans="1:26">
      <c r="Q8" t="str">
        <f>LEFT(Q5,3)</f>
        <v>CAN</v>
      </c>
      <c r="T8">
        <f>SEARCH("c","Canada")</f>
        <v>1</v>
      </c>
    </row>
    <row r="9" spans="1:26">
      <c r="Q9" t="str">
        <f>MID(Q5,5,4)</f>
        <v>2026</v>
      </c>
      <c r="R9" t="str">
        <f>SUBSTITUTE(R6,"-"," ")</f>
        <v>CANADA WEST 2026</v>
      </c>
    </row>
    <row r="10" spans="1:26">
      <c r="A10" s="19" t="s">
        <v>54</v>
      </c>
      <c r="B10" s="19" t="s">
        <v>55</v>
      </c>
      <c r="C10" s="19" t="s">
        <v>16</v>
      </c>
      <c r="E10">
        <f>SUMIF(A11:A16,"Canada",C11:C16)</f>
        <v>3300</v>
      </c>
    </row>
    <row r="11" spans="1:26">
      <c r="A11" s="20" t="s">
        <v>56</v>
      </c>
      <c r="B11" s="20" t="s">
        <v>57</v>
      </c>
      <c r="C11" s="20">
        <v>1200</v>
      </c>
      <c r="E11">
        <f>SUMIFS(C11:C16,A11:A16,"Canada",B11:B16,"Electronics")</f>
        <v>2700</v>
      </c>
    </row>
    <row r="12" spans="1:26">
      <c r="A12" s="20" t="s">
        <v>38</v>
      </c>
      <c r="B12" s="20" t="s">
        <v>58</v>
      </c>
      <c r="C12" s="20">
        <v>800</v>
      </c>
      <c r="E12">
        <f>COUNTIFS(A11:A16,"Canada",B11:B16,"Electronics")</f>
        <v>2</v>
      </c>
    </row>
    <row r="13" spans="1:26">
      <c r="A13" s="20" t="s">
        <v>56</v>
      </c>
      <c r="B13" s="20" t="s">
        <v>58</v>
      </c>
      <c r="C13" s="20">
        <v>600</v>
      </c>
      <c r="E13">
        <f>AVERAGEIFS(C11:C16,A11:A16,"Canada",B11:B16,"Electronics")</f>
        <v>1350</v>
      </c>
      <c r="N13" s="4">
        <v>46249</v>
      </c>
      <c r="O13">
        <f>YEAR(N13)</f>
        <v>2026</v>
      </c>
      <c r="Q13" t="s">
        <v>77</v>
      </c>
      <c r="R13" t="s">
        <v>78</v>
      </c>
      <c r="S13" t="s">
        <v>56</v>
      </c>
    </row>
    <row r="14" spans="1:26">
      <c r="A14" s="20" t="s">
        <v>36</v>
      </c>
      <c r="B14" s="20" t="s">
        <v>57</v>
      </c>
      <c r="C14" s="20">
        <v>900</v>
      </c>
      <c r="E14">
        <f>COUNTIFS(A11:A16,"UK",C11:C16,"&gt;=750")</f>
        <v>1</v>
      </c>
      <c r="O14">
        <f>MONTH(N13)</f>
        <v>8</v>
      </c>
    </row>
    <row r="15" spans="1:26">
      <c r="A15" s="20" t="s">
        <v>56</v>
      </c>
      <c r="B15" s="20" t="s">
        <v>57</v>
      </c>
      <c r="C15" s="20">
        <v>1500</v>
      </c>
      <c r="L15" t="s">
        <v>71</v>
      </c>
      <c r="O15">
        <f>DAY(N13)</f>
        <v>15</v>
      </c>
      <c r="Q15" t="str">
        <f>_xlfn.TEXTJOIN("-",TRUE,Q13:S13)</f>
        <v>Samara-Pires-Canada</v>
      </c>
      <c r="R15">
        <f>LEN(Q15)</f>
        <v>19</v>
      </c>
    </row>
    <row r="16" spans="1:26">
      <c r="A16" s="20" t="s">
        <v>38</v>
      </c>
      <c r="B16" s="20" t="s">
        <v>57</v>
      </c>
      <c r="C16" s="20">
        <v>700</v>
      </c>
    </row>
    <row r="18" spans="15:16">
      <c r="O18" s="4">
        <f ca="1">TODAY()</f>
        <v>46277</v>
      </c>
      <c r="P18" t="e">
        <f>EOMONTH(start_date, months)</f>
        <v>#NAME?</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09FBD-8EEB-4150-96BB-8DB4F97B76E6}">
  <dimension ref="B3:AD49"/>
  <sheetViews>
    <sheetView topLeftCell="AD1" zoomScale="76" workbookViewId="0">
      <selection activeCell="AJ22" sqref="AJ22"/>
    </sheetView>
  </sheetViews>
  <sheetFormatPr defaultRowHeight="14.5"/>
  <cols>
    <col min="2" max="2" width="19.453125" bestFit="1" customWidth="1"/>
    <col min="3" max="3" width="17.90625" bestFit="1" customWidth="1"/>
    <col min="4" max="4" width="11.36328125" bestFit="1" customWidth="1"/>
    <col min="5" max="5" width="19" bestFit="1" customWidth="1"/>
    <col min="6" max="6" width="25.453125" bestFit="1" customWidth="1"/>
    <col min="7" max="7" width="21.36328125" bestFit="1" customWidth="1"/>
    <col min="8" max="8" width="19.26953125" bestFit="1" customWidth="1"/>
    <col min="9" max="9" width="17.90625" bestFit="1" customWidth="1"/>
    <col min="10" max="10" width="11.36328125" bestFit="1" customWidth="1"/>
    <col min="11" max="11" width="19" bestFit="1" customWidth="1"/>
    <col min="12" max="12" width="25.453125" bestFit="1" customWidth="1"/>
    <col min="13" max="13" width="21.36328125" bestFit="1" customWidth="1"/>
    <col min="14" max="14" width="19.26953125" bestFit="1" customWidth="1"/>
    <col min="15" max="15" width="17.90625" bestFit="1" customWidth="1"/>
    <col min="16" max="16" width="11.36328125" bestFit="1" customWidth="1"/>
    <col min="17" max="17" width="19" bestFit="1" customWidth="1"/>
    <col min="18" max="18" width="25.453125" bestFit="1" customWidth="1"/>
    <col min="19" max="19" width="21.36328125" bestFit="1" customWidth="1"/>
    <col min="20" max="20" width="19.26953125" bestFit="1" customWidth="1"/>
    <col min="21" max="21" width="22.7265625" bestFit="1" customWidth="1"/>
    <col min="22" max="22" width="16.08984375" bestFit="1" customWidth="1"/>
    <col min="23" max="23" width="23.81640625" bestFit="1" customWidth="1"/>
    <col min="24" max="24" width="30.26953125" bestFit="1" customWidth="1"/>
    <col min="25" max="25" width="26.1796875" bestFit="1" customWidth="1"/>
    <col min="26" max="26" width="24" bestFit="1" customWidth="1"/>
    <col min="29" max="29" width="14.7265625" bestFit="1" customWidth="1"/>
    <col min="30" max="30" width="17.90625" bestFit="1" customWidth="1"/>
  </cols>
  <sheetData>
    <row r="3" spans="2:30">
      <c r="C3" s="23" t="s">
        <v>124</v>
      </c>
    </row>
    <row r="4" spans="2:30">
      <c r="C4">
        <v>2009</v>
      </c>
      <c r="I4">
        <v>2010</v>
      </c>
      <c r="O4">
        <v>2011</v>
      </c>
      <c r="U4" t="s">
        <v>126</v>
      </c>
      <c r="V4" t="s">
        <v>127</v>
      </c>
      <c r="W4" t="s">
        <v>129</v>
      </c>
      <c r="X4" t="s">
        <v>131</v>
      </c>
      <c r="Y4" t="s">
        <v>135</v>
      </c>
      <c r="Z4" t="s">
        <v>133</v>
      </c>
      <c r="AC4" s="23" t="s">
        <v>81</v>
      </c>
      <c r="AD4" t="s">
        <v>125</v>
      </c>
    </row>
    <row r="5" spans="2:30">
      <c r="B5" s="23" t="s">
        <v>81</v>
      </c>
      <c r="C5" t="s">
        <v>125</v>
      </c>
      <c r="D5" t="s">
        <v>128</v>
      </c>
      <c r="E5" t="s">
        <v>130</v>
      </c>
      <c r="F5" t="s">
        <v>132</v>
      </c>
      <c r="G5" t="s">
        <v>136</v>
      </c>
      <c r="H5" t="s">
        <v>134</v>
      </c>
      <c r="I5" t="s">
        <v>125</v>
      </c>
      <c r="J5" t="s">
        <v>128</v>
      </c>
      <c r="K5" t="s">
        <v>130</v>
      </c>
      <c r="L5" t="s">
        <v>132</v>
      </c>
      <c r="M5" t="s">
        <v>136</v>
      </c>
      <c r="N5" t="s">
        <v>134</v>
      </c>
      <c r="O5" t="s">
        <v>125</v>
      </c>
      <c r="P5" t="s">
        <v>128</v>
      </c>
      <c r="Q5" t="s">
        <v>130</v>
      </c>
      <c r="R5" t="s">
        <v>132</v>
      </c>
      <c r="S5" t="s">
        <v>136</v>
      </c>
      <c r="T5" t="s">
        <v>134</v>
      </c>
      <c r="AC5" s="15" t="s">
        <v>118</v>
      </c>
      <c r="AD5" s="26">
        <v>17281229.077000007</v>
      </c>
    </row>
    <row r="6" spans="2:30">
      <c r="B6" s="15" t="s">
        <v>82</v>
      </c>
      <c r="C6" s="26">
        <v>271.10000000000002</v>
      </c>
      <c r="D6" s="25">
        <v>2</v>
      </c>
      <c r="E6" s="26">
        <v>135.55000000000001</v>
      </c>
      <c r="H6" s="26">
        <v>271.10000000000002</v>
      </c>
      <c r="I6" s="26">
        <v>31075.10000000002</v>
      </c>
      <c r="J6" s="25">
        <v>34</v>
      </c>
      <c r="K6" s="26">
        <v>913.9735294117653</v>
      </c>
      <c r="L6" s="26">
        <v>271.10000000000002</v>
      </c>
      <c r="M6" s="24">
        <v>113.62596827738849</v>
      </c>
      <c r="N6" s="26">
        <v>30804.000000000022</v>
      </c>
      <c r="O6" s="26">
        <v>137138.46000000075</v>
      </c>
      <c r="P6" s="25">
        <v>53</v>
      </c>
      <c r="Q6" s="26">
        <v>2587.5181132075613</v>
      </c>
      <c r="R6" s="26">
        <v>31075.099999999995</v>
      </c>
      <c r="S6" s="24">
        <v>3.4131301266931007</v>
      </c>
      <c r="T6" s="26">
        <v>106063.36000000076</v>
      </c>
      <c r="U6" s="26">
        <v>168484.65999999989</v>
      </c>
      <c r="V6" s="25">
        <v>89</v>
      </c>
      <c r="W6" s="26">
        <v>1893.0860674157291</v>
      </c>
      <c r="X6" s="26">
        <v>31346.199999999997</v>
      </c>
      <c r="Y6" s="24">
        <v>4.3749628344105478</v>
      </c>
      <c r="Z6" s="26">
        <v>137138.4599999999</v>
      </c>
      <c r="AC6" s="15" t="s">
        <v>97</v>
      </c>
      <c r="AD6" s="26">
        <v>640571.99999999953</v>
      </c>
    </row>
    <row r="7" spans="2:30">
      <c r="B7" s="15" t="s">
        <v>83</v>
      </c>
      <c r="C7" s="26">
        <v>1918.34</v>
      </c>
      <c r="D7" s="25">
        <v>2</v>
      </c>
      <c r="E7" s="26">
        <v>959.17</v>
      </c>
      <c r="H7" s="26">
        <v>1918.34</v>
      </c>
      <c r="I7" s="26">
        <v>9793.1900000000369</v>
      </c>
      <c r="J7" s="25">
        <v>22</v>
      </c>
      <c r="K7" s="26">
        <v>445.14500000000169</v>
      </c>
      <c r="L7" s="26">
        <v>1918.3400000000004</v>
      </c>
      <c r="M7" s="24">
        <v>4.1050335185629425</v>
      </c>
      <c r="N7" s="26">
        <v>7874.8500000000367</v>
      </c>
      <c r="O7" s="26">
        <v>8585.4800000000232</v>
      </c>
      <c r="P7" s="25">
        <v>16</v>
      </c>
      <c r="Q7" s="26">
        <v>536.59250000000145</v>
      </c>
      <c r="R7" s="26">
        <v>9793.19</v>
      </c>
      <c r="S7" s="24">
        <v>-0.12332141008190153</v>
      </c>
      <c r="T7" s="26">
        <v>-1207.7099999999773</v>
      </c>
      <c r="U7" s="26">
        <v>20297.010000000002</v>
      </c>
      <c r="V7" s="25">
        <v>40</v>
      </c>
      <c r="W7" s="26">
        <v>507.42525000000006</v>
      </c>
      <c r="X7" s="26">
        <v>11711.529999999995</v>
      </c>
      <c r="Y7" s="24">
        <v>0.73307928169931769</v>
      </c>
      <c r="Z7" s="26">
        <v>8585.4800000000068</v>
      </c>
      <c r="AC7" s="15" t="s">
        <v>105</v>
      </c>
      <c r="AD7" s="26">
        <v>549952.65999999922</v>
      </c>
    </row>
    <row r="8" spans="2:30">
      <c r="B8" s="15" t="s">
        <v>84</v>
      </c>
      <c r="C8" s="26"/>
      <c r="D8" s="25"/>
      <c r="E8" s="26"/>
      <c r="H8" s="26"/>
      <c r="I8" s="26">
        <v>2561.3900000000008</v>
      </c>
      <c r="J8" s="25">
        <v>8</v>
      </c>
      <c r="K8" s="26">
        <v>320.1737500000001</v>
      </c>
      <c r="L8" s="26"/>
      <c r="M8" s="24"/>
      <c r="N8" s="26">
        <v>2561.3900000000008</v>
      </c>
      <c r="O8" s="26">
        <v>548.40000000000009</v>
      </c>
      <c r="P8" s="25">
        <v>2</v>
      </c>
      <c r="Q8" s="26">
        <v>274.20000000000005</v>
      </c>
      <c r="R8" s="26">
        <v>2561.3900000000003</v>
      </c>
      <c r="S8" s="24">
        <v>-0.7858975009662722</v>
      </c>
      <c r="T8" s="26">
        <v>-2012.9900000000002</v>
      </c>
      <c r="U8" s="26">
        <v>3109.7900000000009</v>
      </c>
      <c r="V8" s="25">
        <v>10</v>
      </c>
      <c r="W8" s="26">
        <v>310.9790000000001</v>
      </c>
      <c r="X8" s="26">
        <v>2561.3900000000008</v>
      </c>
      <c r="Y8" s="24">
        <v>0.21410249903372774</v>
      </c>
      <c r="Z8" s="26">
        <v>548.40000000000009</v>
      </c>
      <c r="AC8" s="15" t="s">
        <v>37</v>
      </c>
      <c r="AD8" s="26">
        <v>388959.99100000132</v>
      </c>
    </row>
    <row r="9" spans="2:30">
      <c r="B9" s="15" t="s">
        <v>85</v>
      </c>
      <c r="C9" s="26">
        <v>287.59999999999997</v>
      </c>
      <c r="D9" s="25">
        <v>2</v>
      </c>
      <c r="E9" s="26">
        <v>143.79999999999998</v>
      </c>
      <c r="H9" s="26">
        <v>287.59999999999997</v>
      </c>
      <c r="I9" s="26">
        <v>21707.740000000053</v>
      </c>
      <c r="J9" s="25">
        <v>48</v>
      </c>
      <c r="K9" s="26">
        <v>452.24458333333445</v>
      </c>
      <c r="L9" s="26">
        <v>287.59999999999997</v>
      </c>
      <c r="M9" s="24">
        <v>74.478929068150407</v>
      </c>
      <c r="N9" s="26">
        <v>21420.140000000054</v>
      </c>
      <c r="O9" s="26">
        <v>35327.429999999942</v>
      </c>
      <c r="P9" s="25">
        <v>93</v>
      </c>
      <c r="Q9" s="26">
        <v>379.8648387096768</v>
      </c>
      <c r="R9" s="26">
        <v>21707.740000000009</v>
      </c>
      <c r="S9" s="24">
        <v>0.62741169739456648</v>
      </c>
      <c r="T9" s="26">
        <v>13619.689999999933</v>
      </c>
      <c r="U9" s="26">
        <v>57322.77000000004</v>
      </c>
      <c r="V9" s="25">
        <v>143</v>
      </c>
      <c r="W9" s="26">
        <v>400.85853146853174</v>
      </c>
      <c r="X9" s="26">
        <v>21995.339999999982</v>
      </c>
      <c r="Y9" s="24">
        <v>1.6061324807891166</v>
      </c>
      <c r="Z9" s="26">
        <v>35327.430000000058</v>
      </c>
      <c r="AC9" s="15" t="s">
        <v>36</v>
      </c>
      <c r="AD9" s="26">
        <v>317401.52999999974</v>
      </c>
    </row>
    <row r="10" spans="2:30">
      <c r="B10" s="15" t="s">
        <v>86</v>
      </c>
      <c r="C10" s="26"/>
      <c r="D10" s="25"/>
      <c r="E10" s="26"/>
      <c r="H10" s="26"/>
      <c r="I10" s="26">
        <v>1253.1400000000001</v>
      </c>
      <c r="J10" s="25">
        <v>1</v>
      </c>
      <c r="K10" s="26">
        <v>1253.1400000000001</v>
      </c>
      <c r="L10" s="26"/>
      <c r="M10" s="24"/>
      <c r="N10" s="26">
        <v>1253.1400000000001</v>
      </c>
      <c r="O10" s="26"/>
      <c r="P10" s="25"/>
      <c r="Q10" s="26"/>
      <c r="R10" s="26">
        <v>1253.1400000000001</v>
      </c>
      <c r="S10" s="24">
        <v>-1</v>
      </c>
      <c r="T10" s="26">
        <v>-1253.1400000000001</v>
      </c>
      <c r="U10" s="26">
        <v>1253.1400000000001</v>
      </c>
      <c r="V10" s="25">
        <v>1</v>
      </c>
      <c r="W10" s="26">
        <v>1253.1400000000001</v>
      </c>
      <c r="X10" s="26">
        <v>1253.1400000000001</v>
      </c>
      <c r="Y10" s="24">
        <v>0</v>
      </c>
      <c r="Z10" s="26">
        <v>0</v>
      </c>
      <c r="AC10" s="15" t="s">
        <v>82</v>
      </c>
      <c r="AD10" s="26">
        <v>168484.65999999989</v>
      </c>
    </row>
    <row r="11" spans="2:30">
      <c r="B11" s="15" t="s">
        <v>87</v>
      </c>
      <c r="C11" s="26"/>
      <c r="D11" s="25"/>
      <c r="E11" s="26"/>
      <c r="H11" s="26"/>
      <c r="I11" s="26">
        <v>268.27</v>
      </c>
      <c r="J11" s="25">
        <v>1</v>
      </c>
      <c r="K11" s="26">
        <v>268.27</v>
      </c>
      <c r="L11" s="26"/>
      <c r="M11" s="24"/>
      <c r="N11" s="26">
        <v>268.27</v>
      </c>
      <c r="O11" s="26">
        <v>1143.5999999999999</v>
      </c>
      <c r="P11" s="25">
        <v>1</v>
      </c>
      <c r="Q11" s="26">
        <v>1143.5999999999999</v>
      </c>
      <c r="R11" s="26">
        <v>268.27</v>
      </c>
      <c r="S11" s="24">
        <v>3.2628694971483951</v>
      </c>
      <c r="T11" s="26">
        <v>875.32999999999993</v>
      </c>
      <c r="U11" s="26">
        <v>1411.8700000000001</v>
      </c>
      <c r="V11" s="25">
        <v>2</v>
      </c>
      <c r="W11" s="26">
        <v>705.93500000000006</v>
      </c>
      <c r="X11" s="26">
        <v>268.27</v>
      </c>
      <c r="Y11" s="24">
        <v>4.2628694971483965</v>
      </c>
      <c r="Z11" s="26">
        <v>1143.6000000000001</v>
      </c>
      <c r="AC11" s="15" t="s">
        <v>113</v>
      </c>
      <c r="AD11" s="26">
        <v>98840.540000000037</v>
      </c>
    </row>
    <row r="12" spans="2:30">
      <c r="B12" s="15" t="s">
        <v>56</v>
      </c>
      <c r="C12" s="26"/>
      <c r="D12" s="25"/>
      <c r="E12" s="26"/>
      <c r="H12" s="26"/>
      <c r="I12" s="26">
        <v>1216.6600000000008</v>
      </c>
      <c r="J12" s="25">
        <v>2</v>
      </c>
      <c r="K12" s="26">
        <v>608.33000000000038</v>
      </c>
      <c r="L12" s="26"/>
      <c r="M12" s="24"/>
      <c r="N12" s="26">
        <v>1216.6600000000008</v>
      </c>
      <c r="O12" s="26">
        <v>3115.4399999999982</v>
      </c>
      <c r="P12" s="25">
        <v>5</v>
      </c>
      <c r="Q12" s="26">
        <v>623.08799999999962</v>
      </c>
      <c r="R12" s="26">
        <v>1216.6600000000003</v>
      </c>
      <c r="S12" s="24">
        <v>1.5606496473953262</v>
      </c>
      <c r="T12" s="26">
        <v>1898.7799999999979</v>
      </c>
      <c r="U12" s="26">
        <v>4332.0999999999995</v>
      </c>
      <c r="V12" s="25">
        <v>7</v>
      </c>
      <c r="W12" s="26">
        <v>618.87142857142851</v>
      </c>
      <c r="X12" s="26">
        <v>1216.6600000000001</v>
      </c>
      <c r="Y12" s="24">
        <v>2.5606496473953277</v>
      </c>
      <c r="Z12" s="26">
        <v>3115.4399999999996</v>
      </c>
      <c r="AC12" s="15" t="s">
        <v>115</v>
      </c>
      <c r="AD12" s="26">
        <v>94270.289999999746</v>
      </c>
    </row>
    <row r="13" spans="2:30">
      <c r="B13" s="15" t="s">
        <v>88</v>
      </c>
      <c r="C13" s="26">
        <v>989.18000000000029</v>
      </c>
      <c r="D13" s="25">
        <v>1</v>
      </c>
      <c r="E13" s="26">
        <v>989.18000000000029</v>
      </c>
      <c r="H13" s="26">
        <v>989.18000000000029</v>
      </c>
      <c r="I13" s="26">
        <v>23920.670000000082</v>
      </c>
      <c r="J13" s="25">
        <v>29</v>
      </c>
      <c r="K13" s="26">
        <v>824.85068965517519</v>
      </c>
      <c r="L13" s="26">
        <v>989.18000000000029</v>
      </c>
      <c r="M13" s="24">
        <v>23.182322731959882</v>
      </c>
      <c r="N13" s="26">
        <v>22931.490000000082</v>
      </c>
      <c r="O13" s="26">
        <v>19793.909999999985</v>
      </c>
      <c r="P13" s="25">
        <v>24</v>
      </c>
      <c r="Q13" s="26">
        <v>824.74624999999935</v>
      </c>
      <c r="R13" s="26">
        <v>23920.670000000006</v>
      </c>
      <c r="S13" s="24">
        <v>-0.17251857912006727</v>
      </c>
      <c r="T13" s="26">
        <v>-4126.7600000000202</v>
      </c>
      <c r="U13" s="26">
        <v>44703.760000000024</v>
      </c>
      <c r="V13" s="25">
        <v>54</v>
      </c>
      <c r="W13" s="26">
        <v>827.8474074074079</v>
      </c>
      <c r="X13" s="26">
        <v>24909.850000000035</v>
      </c>
      <c r="Y13" s="24">
        <v>0.79462180623327561</v>
      </c>
      <c r="Z13" s="26">
        <v>19793.909999999989</v>
      </c>
      <c r="AC13" s="15" t="s">
        <v>114</v>
      </c>
      <c r="AD13" s="26">
        <v>86353.040000000008</v>
      </c>
    </row>
    <row r="14" spans="2:30">
      <c r="B14" s="15" t="s">
        <v>89</v>
      </c>
      <c r="C14" s="26">
        <v>3556.9799999999987</v>
      </c>
      <c r="D14" s="25">
        <v>4</v>
      </c>
      <c r="E14" s="26">
        <v>889.24499999999966</v>
      </c>
      <c r="H14" s="26">
        <v>3556.9799999999987</v>
      </c>
      <c r="I14" s="26">
        <v>9393.5900000000183</v>
      </c>
      <c r="J14" s="25">
        <v>18</v>
      </c>
      <c r="K14" s="26">
        <v>521.8661111111121</v>
      </c>
      <c r="L14" s="26">
        <v>3556.9799999999996</v>
      </c>
      <c r="M14" s="24">
        <v>1.6408891812717585</v>
      </c>
      <c r="N14" s="26">
        <v>5836.6100000000188</v>
      </c>
      <c r="O14" s="26">
        <v>11663.870000000006</v>
      </c>
      <c r="P14" s="25">
        <v>13</v>
      </c>
      <c r="Q14" s="26">
        <v>897.22076923076975</v>
      </c>
      <c r="R14" s="26">
        <v>9393.590000000002</v>
      </c>
      <c r="S14" s="24">
        <v>0.24168395682587848</v>
      </c>
      <c r="T14" s="26">
        <v>2270.2800000000043</v>
      </c>
      <c r="U14" s="26">
        <v>24614.440000000002</v>
      </c>
      <c r="V14" s="25">
        <v>35</v>
      </c>
      <c r="W14" s="26">
        <v>703.26971428571437</v>
      </c>
      <c r="X14" s="26">
        <v>12950.569999999998</v>
      </c>
      <c r="Y14" s="24">
        <v>0.90064529978217223</v>
      </c>
      <c r="Z14" s="26">
        <v>11663.870000000004</v>
      </c>
      <c r="AC14" s="15" t="s">
        <v>91</v>
      </c>
      <c r="AD14" s="26">
        <v>68560.190000000017</v>
      </c>
    </row>
    <row r="15" spans="2:30">
      <c r="B15" s="15" t="s">
        <v>90</v>
      </c>
      <c r="C15" s="26"/>
      <c r="D15" s="25"/>
      <c r="E15" s="26"/>
      <c r="H15" s="26"/>
      <c r="I15" s="26"/>
      <c r="J15" s="25"/>
      <c r="K15" s="26"/>
      <c r="L15" s="26"/>
      <c r="M15" s="24"/>
      <c r="N15" s="26"/>
      <c r="O15" s="26">
        <v>786.74</v>
      </c>
      <c r="P15" s="25">
        <v>2</v>
      </c>
      <c r="Q15" s="26">
        <v>393.37</v>
      </c>
      <c r="R15" s="26"/>
      <c r="S15" s="24"/>
      <c r="T15" s="26">
        <v>786.74</v>
      </c>
      <c r="U15" s="26">
        <v>786.74</v>
      </c>
      <c r="V15" s="25">
        <v>2</v>
      </c>
      <c r="W15" s="26">
        <v>393.37</v>
      </c>
      <c r="X15" s="26"/>
      <c r="Y15" s="24"/>
      <c r="Z15" s="26">
        <v>786.74</v>
      </c>
      <c r="AC15" s="15" t="s">
        <v>122</v>
      </c>
      <c r="AD15" s="26">
        <v>19694623.978000022</v>
      </c>
    </row>
    <row r="16" spans="2:30">
      <c r="B16" s="15" t="s">
        <v>91</v>
      </c>
      <c r="C16" s="26">
        <v>1365.6599999999999</v>
      </c>
      <c r="D16" s="25">
        <v>2</v>
      </c>
      <c r="E16" s="26">
        <v>682.82999999999993</v>
      </c>
      <c r="H16" s="26">
        <v>1365.6599999999999</v>
      </c>
      <c r="I16" s="26">
        <v>50120.689999999973</v>
      </c>
      <c r="J16" s="25">
        <v>23</v>
      </c>
      <c r="K16" s="26">
        <v>2179.1604347826074</v>
      </c>
      <c r="L16" s="26">
        <v>1365.66</v>
      </c>
      <c r="M16" s="24">
        <v>35.7007088147855</v>
      </c>
      <c r="N16" s="26">
        <v>48755.02999999997</v>
      </c>
      <c r="O16" s="26">
        <v>17073.840000000007</v>
      </c>
      <c r="P16" s="25">
        <v>17</v>
      </c>
      <c r="Q16" s="26">
        <v>1004.3435294117652</v>
      </c>
      <c r="R16" s="26">
        <v>50120.69</v>
      </c>
      <c r="S16" s="24">
        <v>-0.65934547189992776</v>
      </c>
      <c r="T16" s="26">
        <v>-33046.849999999991</v>
      </c>
      <c r="U16" s="26">
        <v>68560.190000000017</v>
      </c>
      <c r="V16" s="25">
        <v>42</v>
      </c>
      <c r="W16" s="26">
        <v>1632.3854761904765</v>
      </c>
      <c r="X16" s="26">
        <v>51486.35</v>
      </c>
      <c r="Y16" s="24">
        <v>0.33161876885815406</v>
      </c>
      <c r="Z16" s="26">
        <v>17073.840000000018</v>
      </c>
    </row>
    <row r="17" spans="2:26">
      <c r="B17" s="15" t="s">
        <v>92</v>
      </c>
      <c r="C17" s="26"/>
      <c r="D17" s="25"/>
      <c r="E17" s="26"/>
      <c r="H17" s="26"/>
      <c r="I17" s="26"/>
      <c r="J17" s="25"/>
      <c r="K17" s="26"/>
      <c r="L17" s="26"/>
      <c r="M17" s="24"/>
      <c r="N17" s="26"/>
      <c r="O17" s="26">
        <v>1159.2500000000005</v>
      </c>
      <c r="P17" s="25">
        <v>3</v>
      </c>
      <c r="Q17" s="26">
        <v>386.4166666666668</v>
      </c>
      <c r="R17" s="26"/>
      <c r="S17" s="24"/>
      <c r="T17" s="26">
        <v>1159.2500000000005</v>
      </c>
      <c r="U17" s="26">
        <v>1159.25</v>
      </c>
      <c r="V17" s="25">
        <v>3</v>
      </c>
      <c r="W17" s="26">
        <v>386.41666666666669</v>
      </c>
      <c r="X17" s="26"/>
      <c r="Y17" s="24"/>
      <c r="Z17" s="26">
        <v>1159.25</v>
      </c>
    </row>
    <row r="18" spans="2:26">
      <c r="B18" s="15" t="s">
        <v>93</v>
      </c>
      <c r="C18" s="26">
        <v>469.08000000000004</v>
      </c>
      <c r="D18" s="25">
        <v>1</v>
      </c>
      <c r="E18" s="26">
        <v>469.08000000000004</v>
      </c>
      <c r="H18" s="26">
        <v>469.08000000000004</v>
      </c>
      <c r="I18" s="26">
        <v>7082.1799999999957</v>
      </c>
      <c r="J18" s="25">
        <v>15</v>
      </c>
      <c r="K18" s="26">
        <v>472.14533333333304</v>
      </c>
      <c r="L18" s="26">
        <v>469.08000000000004</v>
      </c>
      <c r="M18" s="24">
        <v>14.098021659418427</v>
      </c>
      <c r="N18" s="26">
        <v>6613.0999999999958</v>
      </c>
      <c r="O18" s="26">
        <v>17692.080000000024</v>
      </c>
      <c r="P18" s="25">
        <v>39</v>
      </c>
      <c r="Q18" s="26">
        <v>453.6430769230775</v>
      </c>
      <c r="R18" s="26">
        <v>7082.18</v>
      </c>
      <c r="S18" s="24">
        <v>1.4981121632039884</v>
      </c>
      <c r="T18" s="26">
        <v>10609.900000000023</v>
      </c>
      <c r="U18" s="26">
        <v>25243.340000000007</v>
      </c>
      <c r="V18" s="25">
        <v>55</v>
      </c>
      <c r="W18" s="26">
        <v>458.96981818181831</v>
      </c>
      <c r="X18" s="26">
        <v>7551.2600000000011</v>
      </c>
      <c r="Y18" s="24">
        <v>2.3429308486265872</v>
      </c>
      <c r="Z18" s="26">
        <v>17692.080000000005</v>
      </c>
    </row>
    <row r="19" spans="2:26">
      <c r="B19" s="15" t="s">
        <v>36</v>
      </c>
      <c r="C19" s="26">
        <v>5873.6899999999978</v>
      </c>
      <c r="D19" s="25">
        <v>13</v>
      </c>
      <c r="E19" s="26">
        <v>451.8223076923075</v>
      </c>
      <c r="H19" s="26">
        <v>5873.6899999999978</v>
      </c>
      <c r="I19" s="26">
        <v>135439.40999999936</v>
      </c>
      <c r="J19" s="25">
        <v>227</v>
      </c>
      <c r="K19" s="26">
        <v>596.64938325990909</v>
      </c>
      <c r="L19" s="26">
        <v>5873.6900000000023</v>
      </c>
      <c r="M19" s="24">
        <v>22.058658185910271</v>
      </c>
      <c r="N19" s="26">
        <v>129565.71999999936</v>
      </c>
      <c r="O19" s="26">
        <v>176088.43000000282</v>
      </c>
      <c r="P19" s="25">
        <v>362</v>
      </c>
      <c r="Q19" s="26">
        <v>486.43212707183096</v>
      </c>
      <c r="R19" s="26">
        <v>135439.41000000006</v>
      </c>
      <c r="S19" s="24">
        <v>0.30012697190576021</v>
      </c>
      <c r="T19" s="26">
        <v>40649.020000002754</v>
      </c>
      <c r="U19" s="26">
        <v>317401.52999999974</v>
      </c>
      <c r="V19" s="25">
        <v>602</v>
      </c>
      <c r="W19" s="26">
        <v>527.24506644518226</v>
      </c>
      <c r="X19" s="26">
        <v>141313.09999999992</v>
      </c>
      <c r="Y19" s="24">
        <v>1.2460870931286621</v>
      </c>
      <c r="Z19" s="26">
        <v>176088.42999999982</v>
      </c>
    </row>
    <row r="20" spans="2:26">
      <c r="B20" s="15" t="s">
        <v>37</v>
      </c>
      <c r="C20" s="26">
        <v>9034.8500000000076</v>
      </c>
      <c r="D20" s="25">
        <v>17</v>
      </c>
      <c r="E20" s="26">
        <v>531.46176470588284</v>
      </c>
      <c r="H20" s="26">
        <v>9034.8500000000076</v>
      </c>
      <c r="I20" s="26">
        <v>187634.3910000005</v>
      </c>
      <c r="J20" s="25">
        <v>325</v>
      </c>
      <c r="K20" s="26">
        <v>577.33658769230919</v>
      </c>
      <c r="L20" s="26">
        <v>9034.8499999999967</v>
      </c>
      <c r="M20" s="24">
        <v>19.76784794434889</v>
      </c>
      <c r="N20" s="26">
        <v>178599.54100000049</v>
      </c>
      <c r="O20" s="26">
        <v>192290.75000000114</v>
      </c>
      <c r="P20" s="25">
        <v>414</v>
      </c>
      <c r="Q20" s="26">
        <v>464.47041062802208</v>
      </c>
      <c r="R20" s="26">
        <v>187634.39099999986</v>
      </c>
      <c r="S20" s="24">
        <v>2.4816127657542698E-2</v>
      </c>
      <c r="T20" s="26">
        <v>4656.3590000012773</v>
      </c>
      <c r="U20" s="26">
        <v>388959.99100000132</v>
      </c>
      <c r="V20" s="25">
        <v>756</v>
      </c>
      <c r="W20" s="26">
        <v>514.49734259259435</v>
      </c>
      <c r="X20" s="26">
        <v>196669.24099999998</v>
      </c>
      <c r="Y20" s="24">
        <v>0.97773677786248925</v>
      </c>
      <c r="Z20" s="26">
        <v>192290.75000000134</v>
      </c>
    </row>
    <row r="21" spans="2:26">
      <c r="B21" s="15" t="s">
        <v>94</v>
      </c>
      <c r="C21" s="26">
        <v>610.95000000000005</v>
      </c>
      <c r="D21" s="25">
        <v>1</v>
      </c>
      <c r="E21" s="26">
        <v>610.95000000000005</v>
      </c>
      <c r="H21" s="26">
        <v>610.95000000000005</v>
      </c>
      <c r="I21" s="26">
        <v>13674.720000000007</v>
      </c>
      <c r="J21" s="25">
        <v>12</v>
      </c>
      <c r="K21" s="26">
        <v>1139.5600000000006</v>
      </c>
      <c r="L21" s="26">
        <v>610.95000000000005</v>
      </c>
      <c r="M21" s="24">
        <v>21.382715443162297</v>
      </c>
      <c r="N21" s="26">
        <v>13063.770000000006</v>
      </c>
      <c r="O21" s="26">
        <v>4425.5199999999977</v>
      </c>
      <c r="P21" s="25">
        <v>5</v>
      </c>
      <c r="Q21" s="26">
        <v>885.10399999999959</v>
      </c>
      <c r="R21" s="26">
        <v>13674.719999999994</v>
      </c>
      <c r="S21" s="24">
        <v>-0.67637216703523007</v>
      </c>
      <c r="T21" s="26">
        <v>-9249.1999999999971</v>
      </c>
      <c r="U21" s="26">
        <v>18711.190000000002</v>
      </c>
      <c r="V21" s="25">
        <v>18</v>
      </c>
      <c r="W21" s="26">
        <v>1039.5105555555556</v>
      </c>
      <c r="X21" s="26">
        <v>14285.669999999996</v>
      </c>
      <c r="Y21" s="24">
        <v>0.30978736034081755</v>
      </c>
      <c r="Z21" s="26">
        <v>4425.5200000000059</v>
      </c>
    </row>
    <row r="22" spans="2:26">
      <c r="B22" s="15" t="s">
        <v>95</v>
      </c>
      <c r="C22" s="26"/>
      <c r="D22" s="25"/>
      <c r="E22" s="26"/>
      <c r="H22" s="26"/>
      <c r="I22" s="26">
        <v>3922.2599999999989</v>
      </c>
      <c r="J22" s="25">
        <v>2</v>
      </c>
      <c r="K22" s="26">
        <v>1961.1299999999994</v>
      </c>
      <c r="L22" s="26"/>
      <c r="M22" s="24"/>
      <c r="N22" s="26">
        <v>3922.2599999999989</v>
      </c>
      <c r="O22" s="26">
        <v>9952.9900000000307</v>
      </c>
      <c r="P22" s="25">
        <v>7</v>
      </c>
      <c r="Q22" s="26">
        <v>1421.8557142857187</v>
      </c>
      <c r="R22" s="26">
        <v>3922.26</v>
      </c>
      <c r="S22" s="24">
        <v>1.5375650772768839</v>
      </c>
      <c r="T22" s="26">
        <v>6030.7300000000305</v>
      </c>
      <c r="U22" s="26">
        <v>13875.250000000002</v>
      </c>
      <c r="V22" s="25">
        <v>9</v>
      </c>
      <c r="W22" s="26">
        <v>1541.6944444444446</v>
      </c>
      <c r="X22" s="26">
        <v>3922.2599999999989</v>
      </c>
      <c r="Y22" s="24">
        <v>2.5375650772768776</v>
      </c>
      <c r="Z22" s="26">
        <v>9952.9900000000034</v>
      </c>
    </row>
    <row r="23" spans="2:26">
      <c r="B23" s="15" t="s">
        <v>96</v>
      </c>
      <c r="C23" s="26"/>
      <c r="D23" s="25"/>
      <c r="E23" s="26"/>
      <c r="H23" s="26"/>
      <c r="I23" s="26">
        <v>2035.1100000000001</v>
      </c>
      <c r="J23" s="25">
        <v>2</v>
      </c>
      <c r="K23" s="26">
        <v>1017.5550000000001</v>
      </c>
      <c r="L23" s="26"/>
      <c r="M23" s="24"/>
      <c r="N23" s="26">
        <v>2035.1100000000001</v>
      </c>
      <c r="O23" s="26">
        <v>3598.2099999999969</v>
      </c>
      <c r="P23" s="25">
        <v>6</v>
      </c>
      <c r="Q23" s="26">
        <v>599.70166666666614</v>
      </c>
      <c r="R23" s="26">
        <v>2035.1100000000001</v>
      </c>
      <c r="S23" s="24">
        <v>0.76806659099507968</v>
      </c>
      <c r="T23" s="26">
        <v>1563.0999999999967</v>
      </c>
      <c r="U23" s="26">
        <v>5633.3200000000006</v>
      </c>
      <c r="V23" s="25">
        <v>8</v>
      </c>
      <c r="W23" s="26">
        <v>704.16500000000008</v>
      </c>
      <c r="X23" s="26">
        <v>2035.1099999999997</v>
      </c>
      <c r="Y23" s="24">
        <v>1.7680665909950821</v>
      </c>
      <c r="Z23" s="26">
        <v>3598.2100000000009</v>
      </c>
    </row>
    <row r="24" spans="2:26">
      <c r="B24" s="15" t="s">
        <v>97</v>
      </c>
      <c r="C24" s="26">
        <v>19296.489999999976</v>
      </c>
      <c r="D24" s="25">
        <v>19</v>
      </c>
      <c r="E24" s="26">
        <v>1015.604736842104</v>
      </c>
      <c r="H24" s="26">
        <v>19296.489999999976</v>
      </c>
      <c r="I24" s="26">
        <v>354904.4700000009</v>
      </c>
      <c r="J24" s="25">
        <v>313</v>
      </c>
      <c r="K24" s="26">
        <v>1133.8800958466481</v>
      </c>
      <c r="L24" s="26">
        <v>19296.489999999998</v>
      </c>
      <c r="M24" s="24">
        <v>17.392177541096903</v>
      </c>
      <c r="N24" s="26">
        <v>335607.98000000091</v>
      </c>
      <c r="O24" s="26">
        <v>266371.03999999922</v>
      </c>
      <c r="P24" s="25">
        <v>267</v>
      </c>
      <c r="Q24" s="26">
        <v>997.64434456928552</v>
      </c>
      <c r="R24" s="26">
        <v>354904.46999999991</v>
      </c>
      <c r="S24" s="24">
        <v>-0.24945707220875724</v>
      </c>
      <c r="T24" s="26">
        <v>-88533.430000000692</v>
      </c>
      <c r="U24" s="26">
        <v>640571.99999999953</v>
      </c>
      <c r="V24" s="25">
        <v>599</v>
      </c>
      <c r="W24" s="26">
        <v>1069.4023372287138</v>
      </c>
      <c r="X24" s="26">
        <v>374200.96</v>
      </c>
      <c r="Y24" s="24">
        <v>0.71183954204713829</v>
      </c>
      <c r="Z24" s="26">
        <v>266371.03999999951</v>
      </c>
    </row>
    <row r="25" spans="2:26">
      <c r="B25" s="15" t="s">
        <v>98</v>
      </c>
      <c r="C25" s="26"/>
      <c r="D25" s="25"/>
      <c r="E25" s="26"/>
      <c r="H25" s="26"/>
      <c r="I25" s="26">
        <v>3199.3999999999996</v>
      </c>
      <c r="J25" s="25">
        <v>2</v>
      </c>
      <c r="K25" s="26">
        <v>1599.6999999999998</v>
      </c>
      <c r="L25" s="26"/>
      <c r="M25" s="24"/>
      <c r="N25" s="26">
        <v>3199.3999999999996</v>
      </c>
      <c r="O25" s="26">
        <v>8135.2599999999966</v>
      </c>
      <c r="P25" s="25">
        <v>8</v>
      </c>
      <c r="Q25" s="26">
        <v>1016.9074999999996</v>
      </c>
      <c r="R25" s="26">
        <v>3199.4000000000005</v>
      </c>
      <c r="S25" s="24">
        <v>1.5427455147840206</v>
      </c>
      <c r="T25" s="26">
        <v>4935.859999999996</v>
      </c>
      <c r="U25" s="26">
        <v>11334.659999999991</v>
      </c>
      <c r="V25" s="25">
        <v>10</v>
      </c>
      <c r="W25" s="26">
        <v>1133.465999999999</v>
      </c>
      <c r="X25" s="26">
        <v>3199.3999999999996</v>
      </c>
      <c r="Y25" s="24">
        <v>2.5427455147840194</v>
      </c>
      <c r="Z25" s="26">
        <v>8135.2599999999911</v>
      </c>
    </row>
    <row r="26" spans="2:26">
      <c r="B26" s="15" t="s">
        <v>99</v>
      </c>
      <c r="C26" s="26">
        <v>422.34999999999997</v>
      </c>
      <c r="D26" s="25">
        <v>1</v>
      </c>
      <c r="E26" s="26">
        <v>422.34999999999997</v>
      </c>
      <c r="H26" s="26">
        <v>422.34999999999997</v>
      </c>
      <c r="I26" s="26">
        <v>13771.330000000027</v>
      </c>
      <c r="J26" s="25">
        <v>26</v>
      </c>
      <c r="K26" s="26">
        <v>529.66653846153952</v>
      </c>
      <c r="L26" s="26">
        <v>422.34999999999997</v>
      </c>
      <c r="M26" s="24">
        <v>31.606440156268565</v>
      </c>
      <c r="N26" s="26">
        <v>13348.980000000027</v>
      </c>
      <c r="O26" s="26">
        <v>15169.740000000016</v>
      </c>
      <c r="P26" s="25">
        <v>33</v>
      </c>
      <c r="Q26" s="26">
        <v>459.68909090909142</v>
      </c>
      <c r="R26" s="26">
        <v>13771.33</v>
      </c>
      <c r="S26" s="24">
        <v>0.10154502143220853</v>
      </c>
      <c r="T26" s="26">
        <v>1398.4100000000162</v>
      </c>
      <c r="U26" s="26">
        <v>29363.420000000071</v>
      </c>
      <c r="V26" s="25">
        <v>60</v>
      </c>
      <c r="W26" s="26">
        <v>489.39033333333452</v>
      </c>
      <c r="X26" s="26">
        <v>14193.679999999984</v>
      </c>
      <c r="Y26" s="24">
        <v>1.0687672259766392</v>
      </c>
      <c r="Z26" s="26">
        <v>15169.740000000087</v>
      </c>
    </row>
    <row r="27" spans="2:26">
      <c r="B27" s="15" t="s">
        <v>100</v>
      </c>
      <c r="C27" s="26"/>
      <c r="D27" s="25"/>
      <c r="E27" s="26"/>
      <c r="H27" s="26"/>
      <c r="I27" s="26">
        <v>17427.089999999997</v>
      </c>
      <c r="J27" s="25">
        <v>17</v>
      </c>
      <c r="K27" s="26">
        <v>1025.1229411764705</v>
      </c>
      <c r="L27" s="26"/>
      <c r="M27" s="24"/>
      <c r="N27" s="26">
        <v>17427.089999999997</v>
      </c>
      <c r="O27" s="26">
        <v>29711.299999999981</v>
      </c>
      <c r="P27" s="25">
        <v>16</v>
      </c>
      <c r="Q27" s="26">
        <v>1856.9562499999988</v>
      </c>
      <c r="R27" s="26">
        <v>17427.09</v>
      </c>
      <c r="S27" s="24">
        <v>0.70489163710062785</v>
      </c>
      <c r="T27" s="26">
        <v>12284.209999999981</v>
      </c>
      <c r="U27" s="26">
        <v>47138.389999999956</v>
      </c>
      <c r="V27" s="25">
        <v>33</v>
      </c>
      <c r="W27" s="26">
        <v>1428.4360606060593</v>
      </c>
      <c r="X27" s="26">
        <v>17427.089999999997</v>
      </c>
      <c r="Y27" s="24">
        <v>1.7048916371006271</v>
      </c>
      <c r="Z27" s="26">
        <v>29711.299999999959</v>
      </c>
    </row>
    <row r="28" spans="2:26">
      <c r="B28" s="15" t="s">
        <v>101</v>
      </c>
      <c r="C28" s="26"/>
      <c r="D28" s="25"/>
      <c r="E28" s="26"/>
      <c r="H28" s="26"/>
      <c r="I28" s="26">
        <v>1118.5100000000007</v>
      </c>
      <c r="J28" s="25">
        <v>2</v>
      </c>
      <c r="K28" s="26">
        <v>559.25500000000034</v>
      </c>
      <c r="L28" s="26"/>
      <c r="M28" s="24"/>
      <c r="N28" s="26">
        <v>1118.5100000000007</v>
      </c>
      <c r="O28" s="26"/>
      <c r="P28" s="25"/>
      <c r="Q28" s="26"/>
      <c r="R28" s="26">
        <v>1118.5100000000004</v>
      </c>
      <c r="S28" s="24">
        <v>-1</v>
      </c>
      <c r="T28" s="26">
        <v>-1118.5100000000004</v>
      </c>
      <c r="U28" s="26">
        <v>1118.5100000000002</v>
      </c>
      <c r="V28" s="25">
        <v>2</v>
      </c>
      <c r="W28" s="26">
        <v>559.25500000000011</v>
      </c>
      <c r="X28" s="26">
        <v>1118.5100000000002</v>
      </c>
      <c r="Y28" s="24">
        <v>0</v>
      </c>
      <c r="Z28" s="26">
        <v>0</v>
      </c>
    </row>
    <row r="29" spans="2:26">
      <c r="B29" s="15" t="s">
        <v>102</v>
      </c>
      <c r="C29" s="26"/>
      <c r="D29" s="25"/>
      <c r="E29" s="26"/>
      <c r="H29" s="26"/>
      <c r="I29" s="26">
        <v>211.7</v>
      </c>
      <c r="J29" s="25">
        <v>1</v>
      </c>
      <c r="K29" s="26">
        <v>211.7</v>
      </c>
      <c r="L29" s="26"/>
      <c r="M29" s="24"/>
      <c r="N29" s="26">
        <v>211.7</v>
      </c>
      <c r="O29" s="26">
        <v>1693.8799999999999</v>
      </c>
      <c r="P29" s="25">
        <v>1</v>
      </c>
      <c r="Q29" s="26">
        <v>1693.8799999999999</v>
      </c>
      <c r="R29" s="26">
        <v>211.7</v>
      </c>
      <c r="S29" s="24">
        <v>7.0013226263580535</v>
      </c>
      <c r="T29" s="26">
        <v>1482.1799999999998</v>
      </c>
      <c r="U29" s="26">
        <v>1905.58</v>
      </c>
      <c r="V29" s="25">
        <v>2</v>
      </c>
      <c r="W29" s="26">
        <v>952.79</v>
      </c>
      <c r="X29" s="26">
        <v>211.7</v>
      </c>
      <c r="Y29" s="24">
        <v>8.0013226263580535</v>
      </c>
      <c r="Z29" s="26">
        <v>1693.8799999999999</v>
      </c>
    </row>
    <row r="30" spans="2:26">
      <c r="B30" s="15" t="s">
        <v>103</v>
      </c>
      <c r="C30" s="26"/>
      <c r="D30" s="25"/>
      <c r="E30" s="26"/>
      <c r="H30" s="26"/>
      <c r="I30" s="26">
        <v>6553.7400000000034</v>
      </c>
      <c r="J30" s="25">
        <v>6</v>
      </c>
      <c r="K30" s="26">
        <v>1092.2900000000006</v>
      </c>
      <c r="L30" s="26"/>
      <c r="M30" s="24"/>
      <c r="N30" s="26">
        <v>6553.7400000000034</v>
      </c>
      <c r="O30" s="26"/>
      <c r="P30" s="25"/>
      <c r="Q30" s="26"/>
      <c r="R30" s="26">
        <v>6553.7399999999989</v>
      </c>
      <c r="S30" s="24">
        <v>-1</v>
      </c>
      <c r="T30" s="26">
        <v>-6553.7399999999989</v>
      </c>
      <c r="U30" s="26">
        <v>6553.7400000000016</v>
      </c>
      <c r="V30" s="25">
        <v>6</v>
      </c>
      <c r="W30" s="26">
        <v>1092.2900000000002</v>
      </c>
      <c r="X30" s="26">
        <v>6553.7400000000016</v>
      </c>
      <c r="Y30" s="24">
        <v>0</v>
      </c>
      <c r="Z30" s="26">
        <v>0</v>
      </c>
    </row>
    <row r="31" spans="2:26">
      <c r="B31" s="15" t="s">
        <v>104</v>
      </c>
      <c r="C31" s="26"/>
      <c r="D31" s="25"/>
      <c r="E31" s="26"/>
      <c r="H31" s="26"/>
      <c r="I31" s="26">
        <v>2686.7499999999986</v>
      </c>
      <c r="J31" s="25">
        <v>2</v>
      </c>
      <c r="K31" s="26">
        <v>1343.3749999999993</v>
      </c>
      <c r="L31" s="26"/>
      <c r="M31" s="24"/>
      <c r="N31" s="26">
        <v>2686.7499999999986</v>
      </c>
      <c r="O31" s="26">
        <v>2070.5900000000006</v>
      </c>
      <c r="P31" s="25">
        <v>5</v>
      </c>
      <c r="Q31" s="26">
        <v>414.11800000000011</v>
      </c>
      <c r="R31" s="26">
        <v>2686.75</v>
      </c>
      <c r="S31" s="24">
        <v>-0.22933283707081023</v>
      </c>
      <c r="T31" s="26">
        <v>-616.1599999999994</v>
      </c>
      <c r="U31" s="26">
        <v>4757.34</v>
      </c>
      <c r="V31" s="25">
        <v>7</v>
      </c>
      <c r="W31" s="26">
        <v>679.62</v>
      </c>
      <c r="X31" s="26">
        <v>2686.75</v>
      </c>
      <c r="Y31" s="24">
        <v>0.77066716292918958</v>
      </c>
      <c r="Z31" s="26">
        <v>2070.59</v>
      </c>
    </row>
    <row r="32" spans="2:26">
      <c r="B32" s="15" t="s">
        <v>105</v>
      </c>
      <c r="C32" s="26">
        <v>15045.730000000003</v>
      </c>
      <c r="D32" s="25">
        <v>6</v>
      </c>
      <c r="E32" s="26">
        <v>2507.6216666666674</v>
      </c>
      <c r="H32" s="26">
        <v>15045.730000000003</v>
      </c>
      <c r="I32" s="26">
        <v>259772.0699999998</v>
      </c>
      <c r="J32" s="25">
        <v>120</v>
      </c>
      <c r="K32" s="26">
        <v>2164.7672499999985</v>
      </c>
      <c r="L32" s="26">
        <v>15045.73</v>
      </c>
      <c r="M32" s="24">
        <v>16.265501241880575</v>
      </c>
      <c r="N32" s="26">
        <v>244726.33999999979</v>
      </c>
      <c r="O32" s="26">
        <v>275134.8600000001</v>
      </c>
      <c r="P32" s="25">
        <v>91</v>
      </c>
      <c r="Q32" s="26">
        <v>3023.4600000000009</v>
      </c>
      <c r="R32" s="26">
        <v>259772.07000000004</v>
      </c>
      <c r="S32" s="24">
        <v>5.9139498715162352E-2</v>
      </c>
      <c r="T32" s="26">
        <v>15362.790000000066</v>
      </c>
      <c r="U32" s="26">
        <v>549952.65999999922</v>
      </c>
      <c r="V32" s="25">
        <v>217</v>
      </c>
      <c r="W32" s="26">
        <v>2534.3440552995357</v>
      </c>
      <c r="X32" s="26">
        <v>274817.79999999981</v>
      </c>
      <c r="Y32" s="24">
        <v>1.0011537098397543</v>
      </c>
      <c r="Z32" s="26">
        <v>275134.8599999994</v>
      </c>
    </row>
    <row r="33" spans="2:26">
      <c r="B33" s="15" t="s">
        <v>106</v>
      </c>
      <c r="C33" s="26"/>
      <c r="D33" s="25"/>
      <c r="E33" s="26"/>
      <c r="H33" s="26"/>
      <c r="I33" s="26">
        <v>140.39000000000001</v>
      </c>
      <c r="J33" s="25">
        <v>2</v>
      </c>
      <c r="K33" s="26">
        <v>70.195000000000007</v>
      </c>
      <c r="L33" s="26"/>
      <c r="M33" s="24"/>
      <c r="N33" s="26">
        <v>140.39000000000001</v>
      </c>
      <c r="O33" s="26"/>
      <c r="P33" s="25"/>
      <c r="Q33" s="26"/>
      <c r="R33" s="26">
        <v>140.39000000000001</v>
      </c>
      <c r="S33" s="24">
        <v>-1</v>
      </c>
      <c r="T33" s="26">
        <v>-140.39000000000001</v>
      </c>
      <c r="U33" s="26">
        <v>140.39000000000001</v>
      </c>
      <c r="V33" s="25">
        <v>2</v>
      </c>
      <c r="W33" s="26">
        <v>70.195000000000007</v>
      </c>
      <c r="X33" s="26">
        <v>140.39000000000001</v>
      </c>
      <c r="Y33" s="24">
        <v>0</v>
      </c>
      <c r="Z33" s="26">
        <v>0</v>
      </c>
    </row>
    <row r="34" spans="2:26">
      <c r="B34" s="15" t="s">
        <v>107</v>
      </c>
      <c r="C34" s="26">
        <v>365.31</v>
      </c>
      <c r="D34" s="25">
        <v>1</v>
      </c>
      <c r="E34" s="26">
        <v>365.31</v>
      </c>
      <c r="H34" s="26">
        <v>365.31</v>
      </c>
      <c r="I34" s="26">
        <v>13329.650000000016</v>
      </c>
      <c r="J34" s="25">
        <v>8</v>
      </c>
      <c r="K34" s="26">
        <v>1666.206250000002</v>
      </c>
      <c r="L34" s="26">
        <v>365.31</v>
      </c>
      <c r="M34" s="24">
        <v>35.48859872437113</v>
      </c>
      <c r="N34" s="26">
        <v>12964.340000000017</v>
      </c>
      <c r="O34" s="26">
        <v>28667.520000000026</v>
      </c>
      <c r="P34" s="25">
        <v>30</v>
      </c>
      <c r="Q34" s="26">
        <v>955.58400000000086</v>
      </c>
      <c r="R34" s="26">
        <v>13329.649999999994</v>
      </c>
      <c r="S34" s="24">
        <v>1.150658119305461</v>
      </c>
      <c r="T34" s="26">
        <v>15337.870000000032</v>
      </c>
      <c r="U34" s="26">
        <v>42362.480000000018</v>
      </c>
      <c r="V34" s="25">
        <v>39</v>
      </c>
      <c r="W34" s="26">
        <v>1086.2174358974364</v>
      </c>
      <c r="X34" s="26">
        <v>13694.95999999999</v>
      </c>
      <c r="Y34" s="24">
        <v>2.0932897942016657</v>
      </c>
      <c r="Z34" s="26">
        <v>28667.520000000026</v>
      </c>
    </row>
    <row r="35" spans="2:26">
      <c r="B35" s="15" t="s">
        <v>108</v>
      </c>
      <c r="C35" s="26">
        <v>371.81999999999994</v>
      </c>
      <c r="D35" s="25">
        <v>1</v>
      </c>
      <c r="E35" s="26">
        <v>371.81999999999994</v>
      </c>
      <c r="H35" s="26">
        <v>371.81999999999994</v>
      </c>
      <c r="I35" s="26">
        <v>3364.139999999999</v>
      </c>
      <c r="J35" s="25">
        <v>9</v>
      </c>
      <c r="K35" s="26">
        <v>373.79333333333324</v>
      </c>
      <c r="L35" s="26">
        <v>371.81999999999994</v>
      </c>
      <c r="M35" s="24">
        <v>8.0477650476036775</v>
      </c>
      <c r="N35" s="26">
        <v>2992.3199999999988</v>
      </c>
      <c r="O35" s="26">
        <v>6726.4899999999971</v>
      </c>
      <c r="P35" s="25">
        <v>18</v>
      </c>
      <c r="Q35" s="26">
        <v>373.69388888888875</v>
      </c>
      <c r="R35" s="26">
        <v>3364.14</v>
      </c>
      <c r="S35" s="24">
        <v>0.99946791750640496</v>
      </c>
      <c r="T35" s="26">
        <v>3362.3499999999972</v>
      </c>
      <c r="U35" s="26">
        <v>10462.449999999999</v>
      </c>
      <c r="V35" s="25">
        <v>28</v>
      </c>
      <c r="W35" s="26">
        <v>373.65892857142853</v>
      </c>
      <c r="X35" s="26">
        <v>3735.9600000000005</v>
      </c>
      <c r="Y35" s="24">
        <v>1.8004716324585908</v>
      </c>
      <c r="Z35" s="26">
        <v>6726.489999999998</v>
      </c>
    </row>
    <row r="36" spans="2:26">
      <c r="B36" s="15" t="s">
        <v>109</v>
      </c>
      <c r="C36" s="26">
        <v>2765.5799999999977</v>
      </c>
      <c r="D36" s="25">
        <v>2</v>
      </c>
      <c r="E36" s="26">
        <v>1382.7899999999988</v>
      </c>
      <c r="H36" s="26">
        <v>2765.5799999999977</v>
      </c>
      <c r="I36" s="26">
        <v>21204.340000000051</v>
      </c>
      <c r="J36" s="25">
        <v>40</v>
      </c>
      <c r="K36" s="26">
        <v>530.1085000000013</v>
      </c>
      <c r="L36" s="26">
        <v>2765.5799999999977</v>
      </c>
      <c r="M36" s="24">
        <v>6.667230743641503</v>
      </c>
      <c r="N36" s="26">
        <v>18438.760000000053</v>
      </c>
      <c r="O36" s="26">
        <v>24967.190000000013</v>
      </c>
      <c r="P36" s="25">
        <v>44</v>
      </c>
      <c r="Q36" s="26">
        <v>567.43613636363671</v>
      </c>
      <c r="R36" s="26">
        <v>21204.34</v>
      </c>
      <c r="S36" s="24">
        <v>0.17745659614965678</v>
      </c>
      <c r="T36" s="26">
        <v>3762.8500000000131</v>
      </c>
      <c r="U36" s="26">
        <v>48937.109999999986</v>
      </c>
      <c r="V36" s="25">
        <v>86</v>
      </c>
      <c r="W36" s="26">
        <v>569.03616279069752</v>
      </c>
      <c r="X36" s="26">
        <v>23969.920000000042</v>
      </c>
      <c r="Y36" s="24">
        <v>1.041605061677298</v>
      </c>
      <c r="Z36" s="26">
        <v>24967.189999999944</v>
      </c>
    </row>
    <row r="37" spans="2:26">
      <c r="B37" s="15" t="s">
        <v>110</v>
      </c>
      <c r="C37" s="26"/>
      <c r="D37" s="25"/>
      <c r="E37" s="26"/>
      <c r="H37" s="26"/>
      <c r="I37" s="26">
        <v>2366.7199999999984</v>
      </c>
      <c r="J37" s="25">
        <v>2</v>
      </c>
      <c r="K37" s="26">
        <v>1183.3599999999992</v>
      </c>
      <c r="L37" s="26"/>
      <c r="M37" s="24"/>
      <c r="N37" s="26">
        <v>2366.7199999999984</v>
      </c>
      <c r="O37" s="26">
        <v>1002.31</v>
      </c>
      <c r="P37" s="25">
        <v>1</v>
      </c>
      <c r="Q37" s="26">
        <v>1002.31</v>
      </c>
      <c r="R37" s="26">
        <v>2366.7200000000007</v>
      </c>
      <c r="S37" s="24">
        <v>-0.57649827609518678</v>
      </c>
      <c r="T37" s="26">
        <v>-1364.4100000000008</v>
      </c>
      <c r="U37" s="26">
        <v>3369.0299999999993</v>
      </c>
      <c r="V37" s="25">
        <v>3</v>
      </c>
      <c r="W37" s="26">
        <v>1123.0099999999998</v>
      </c>
      <c r="X37" s="26">
        <v>2366.7199999999998</v>
      </c>
      <c r="Y37" s="24">
        <v>0.42350172390481322</v>
      </c>
      <c r="Z37" s="26">
        <v>1002.3099999999995</v>
      </c>
    </row>
    <row r="38" spans="2:26">
      <c r="B38" s="15" t="s">
        <v>111</v>
      </c>
      <c r="C38" s="26"/>
      <c r="D38" s="25"/>
      <c r="E38" s="26"/>
      <c r="H38" s="26"/>
      <c r="I38" s="26"/>
      <c r="J38" s="25"/>
      <c r="K38" s="26"/>
      <c r="L38" s="26"/>
      <c r="M38" s="24"/>
      <c r="N38" s="26"/>
      <c r="O38" s="26">
        <v>145.92000000000002</v>
      </c>
      <c r="P38" s="25">
        <v>1</v>
      </c>
      <c r="Q38" s="26">
        <v>145.92000000000002</v>
      </c>
      <c r="R38" s="26"/>
      <c r="S38" s="24"/>
      <c r="T38" s="26">
        <v>145.92000000000002</v>
      </c>
      <c r="U38" s="26">
        <v>145.92000000000002</v>
      </c>
      <c r="V38" s="25">
        <v>1</v>
      </c>
      <c r="W38" s="26">
        <v>145.92000000000002</v>
      </c>
      <c r="X38" s="26"/>
      <c r="Y38" s="24"/>
      <c r="Z38" s="26">
        <v>145.92000000000002</v>
      </c>
    </row>
    <row r="39" spans="2:26">
      <c r="B39" s="15" t="s">
        <v>112</v>
      </c>
      <c r="C39" s="26"/>
      <c r="D39" s="25"/>
      <c r="E39" s="26"/>
      <c r="H39" s="26"/>
      <c r="I39" s="26">
        <v>4037.7699999999982</v>
      </c>
      <c r="J39" s="25">
        <v>4</v>
      </c>
      <c r="K39" s="26">
        <v>1009.4424999999995</v>
      </c>
      <c r="L39" s="26"/>
      <c r="M39" s="24"/>
      <c r="N39" s="26">
        <v>4037.7699999999982</v>
      </c>
      <c r="O39" s="26">
        <v>9120.3900000000158</v>
      </c>
      <c r="P39" s="25">
        <v>4</v>
      </c>
      <c r="Q39" s="26">
        <v>2280.0975000000039</v>
      </c>
      <c r="R39" s="26">
        <v>4037.7699999999995</v>
      </c>
      <c r="S39" s="24">
        <v>1.2587690730279379</v>
      </c>
      <c r="T39" s="26">
        <v>5082.6200000000163</v>
      </c>
      <c r="U39" s="26">
        <v>13158.159999999994</v>
      </c>
      <c r="V39" s="25">
        <v>8</v>
      </c>
      <c r="W39" s="26">
        <v>1644.7699999999993</v>
      </c>
      <c r="X39" s="26">
        <v>4037.77</v>
      </c>
      <c r="Y39" s="24">
        <v>2.2587690730279322</v>
      </c>
      <c r="Z39" s="26">
        <v>9120.389999999994</v>
      </c>
    </row>
    <row r="40" spans="2:26">
      <c r="B40" s="15" t="s">
        <v>113</v>
      </c>
      <c r="C40" s="26">
        <v>7754.18</v>
      </c>
      <c r="D40" s="25">
        <v>5</v>
      </c>
      <c r="E40" s="26">
        <v>1550.836</v>
      </c>
      <c r="H40" s="26">
        <v>7754.18</v>
      </c>
      <c r="I40" s="26">
        <v>37064.979999999799</v>
      </c>
      <c r="J40" s="25">
        <v>58</v>
      </c>
      <c r="K40" s="26">
        <v>639.05137931034142</v>
      </c>
      <c r="L40" s="26">
        <v>7754.1800000000021</v>
      </c>
      <c r="M40" s="24">
        <v>3.7799999484148925</v>
      </c>
      <c r="N40" s="26">
        <v>29310.799999999799</v>
      </c>
      <c r="O40" s="26">
        <v>54021.380000000128</v>
      </c>
      <c r="P40" s="25">
        <v>84</v>
      </c>
      <c r="Q40" s="26">
        <v>643.11166666666816</v>
      </c>
      <c r="R40" s="26">
        <v>37064.979999999996</v>
      </c>
      <c r="S40" s="24">
        <v>0.45747765141112001</v>
      </c>
      <c r="T40" s="26">
        <v>16956.400000000132</v>
      </c>
      <c r="U40" s="26">
        <v>98840.540000000037</v>
      </c>
      <c r="V40" s="25">
        <v>147</v>
      </c>
      <c r="W40" s="26">
        <v>672.3846258503404</v>
      </c>
      <c r="X40" s="26">
        <v>44819.160000000033</v>
      </c>
      <c r="Y40" s="24">
        <v>1.2053188859407442</v>
      </c>
      <c r="Z40" s="26">
        <v>54021.380000000005</v>
      </c>
    </row>
    <row r="41" spans="2:26">
      <c r="B41" s="15" t="s">
        <v>114</v>
      </c>
      <c r="C41" s="26">
        <v>285.29999999999995</v>
      </c>
      <c r="D41" s="25">
        <v>1</v>
      </c>
      <c r="E41" s="26">
        <v>285.29999999999995</v>
      </c>
      <c r="H41" s="26">
        <v>285.29999999999995</v>
      </c>
      <c r="I41" s="26">
        <v>53062.70999999989</v>
      </c>
      <c r="J41" s="25">
        <v>66</v>
      </c>
      <c r="K41" s="26">
        <v>803.98045454545286</v>
      </c>
      <c r="L41" s="26">
        <v>285.29999999999995</v>
      </c>
      <c r="M41" s="24">
        <v>184.98916929547806</v>
      </c>
      <c r="N41" s="26">
        <v>52777.409999999887</v>
      </c>
      <c r="O41" s="26">
        <v>33005.029999999962</v>
      </c>
      <c r="P41" s="25">
        <v>32</v>
      </c>
      <c r="Q41" s="26">
        <v>1031.4071874999988</v>
      </c>
      <c r="R41" s="26">
        <v>53062.710000000006</v>
      </c>
      <c r="S41" s="24">
        <v>-0.37799954054363305</v>
      </c>
      <c r="T41" s="26">
        <v>-20057.680000000044</v>
      </c>
      <c r="U41" s="26">
        <v>86353.040000000008</v>
      </c>
      <c r="V41" s="25">
        <v>99</v>
      </c>
      <c r="W41" s="26">
        <v>872.25292929292937</v>
      </c>
      <c r="X41" s="26">
        <v>53348.010000000111</v>
      </c>
      <c r="Y41" s="24">
        <v>0.61867406113179912</v>
      </c>
      <c r="Z41" s="26">
        <v>33005.029999999897</v>
      </c>
    </row>
    <row r="42" spans="2:26">
      <c r="B42" s="15" t="s">
        <v>115</v>
      </c>
      <c r="C42" s="26">
        <v>469.40000000000003</v>
      </c>
      <c r="D42" s="25">
        <v>1</v>
      </c>
      <c r="E42" s="26">
        <v>469.40000000000003</v>
      </c>
      <c r="H42" s="26">
        <v>469.40000000000003</v>
      </c>
      <c r="I42" s="26">
        <v>41937.909999999996</v>
      </c>
      <c r="J42" s="25">
        <v>36</v>
      </c>
      <c r="K42" s="26">
        <v>1164.9419444444443</v>
      </c>
      <c r="L42" s="26">
        <v>469.40000000000003</v>
      </c>
      <c r="M42" s="24">
        <v>88.343651469961642</v>
      </c>
      <c r="N42" s="26">
        <v>41468.509999999995</v>
      </c>
      <c r="O42" s="26">
        <v>51862.9800000002</v>
      </c>
      <c r="P42" s="25">
        <v>48</v>
      </c>
      <c r="Q42" s="26">
        <v>1080.4787500000041</v>
      </c>
      <c r="R42" s="26">
        <v>41937.910000000011</v>
      </c>
      <c r="S42" s="24">
        <v>0.23666105440161864</v>
      </c>
      <c r="T42" s="26">
        <v>9925.0700000001889</v>
      </c>
      <c r="U42" s="26">
        <v>94270.289999999746</v>
      </c>
      <c r="V42" s="25">
        <v>85</v>
      </c>
      <c r="W42" s="26">
        <v>1109.0622352941148</v>
      </c>
      <c r="X42" s="26">
        <v>42407.310000000027</v>
      </c>
      <c r="Y42" s="24">
        <v>1.2229726431598629</v>
      </c>
      <c r="Z42" s="26">
        <v>51862.979999999719</v>
      </c>
    </row>
    <row r="43" spans="2:26">
      <c r="B43" s="15" t="s">
        <v>116</v>
      </c>
      <c r="C43" s="26"/>
      <c r="D43" s="25"/>
      <c r="E43" s="26"/>
      <c r="H43" s="26"/>
      <c r="I43" s="26">
        <v>3070.5399999999981</v>
      </c>
      <c r="J43" s="25">
        <v>2</v>
      </c>
      <c r="K43" s="26">
        <v>1535.2699999999991</v>
      </c>
      <c r="L43" s="26"/>
      <c r="M43" s="24"/>
      <c r="N43" s="26">
        <v>3070.5399999999981</v>
      </c>
      <c r="O43" s="26"/>
      <c r="P43" s="25"/>
      <c r="Q43" s="26"/>
      <c r="R43" s="26">
        <v>3070.5400000000009</v>
      </c>
      <c r="S43" s="24">
        <v>-1</v>
      </c>
      <c r="T43" s="26">
        <v>-3070.5400000000009</v>
      </c>
      <c r="U43" s="26">
        <v>3070.5400000000004</v>
      </c>
      <c r="V43" s="25">
        <v>2</v>
      </c>
      <c r="W43" s="26">
        <v>1535.2700000000002</v>
      </c>
      <c r="X43" s="26">
        <v>3070.5400000000004</v>
      </c>
      <c r="Y43" s="24">
        <v>0</v>
      </c>
      <c r="Z43" s="26">
        <v>0</v>
      </c>
    </row>
    <row r="44" spans="2:26">
      <c r="B44" s="15" t="s">
        <v>117</v>
      </c>
      <c r="C44" s="26">
        <v>517.70000000000005</v>
      </c>
      <c r="D44" s="25">
        <v>1</v>
      </c>
      <c r="E44" s="26">
        <v>517.70000000000005</v>
      </c>
      <c r="H44" s="26">
        <v>517.70000000000005</v>
      </c>
      <c r="I44" s="26">
        <v>7890.7499999999936</v>
      </c>
      <c r="J44" s="25">
        <v>9</v>
      </c>
      <c r="K44" s="26">
        <v>876.74999999999932</v>
      </c>
      <c r="L44" s="26">
        <v>517.70000000000005</v>
      </c>
      <c r="M44" s="24">
        <v>14.241935483870954</v>
      </c>
      <c r="N44" s="26">
        <v>7373.0499999999938</v>
      </c>
      <c r="O44" s="26">
        <v>1864.7800000000007</v>
      </c>
      <c r="P44" s="25">
        <v>2</v>
      </c>
      <c r="Q44" s="26">
        <v>932.39000000000033</v>
      </c>
      <c r="R44" s="26">
        <v>7890.7500000000027</v>
      </c>
      <c r="S44" s="24">
        <v>-0.76367518930393186</v>
      </c>
      <c r="T44" s="26">
        <v>-6025.9700000000021</v>
      </c>
      <c r="U44" s="26">
        <v>10273.23</v>
      </c>
      <c r="V44" s="25">
        <v>12</v>
      </c>
      <c r="W44" s="26">
        <v>856.10249999999996</v>
      </c>
      <c r="X44" s="26">
        <v>8408.4499999999953</v>
      </c>
      <c r="Y44" s="24">
        <v>0.22177452443672799</v>
      </c>
      <c r="Z44" s="26">
        <v>1864.7800000000043</v>
      </c>
    </row>
    <row r="45" spans="2:26">
      <c r="B45" s="15" t="s">
        <v>118</v>
      </c>
      <c r="C45" s="26">
        <v>730277.54999999714</v>
      </c>
      <c r="D45" s="25">
        <v>1746</v>
      </c>
      <c r="E45" s="26">
        <v>418.25747422680246</v>
      </c>
      <c r="H45" s="26">
        <v>730277.54999999714</v>
      </c>
      <c r="I45" s="26">
        <v>8508342.4429997224</v>
      </c>
      <c r="J45" s="25">
        <v>19205</v>
      </c>
      <c r="K45" s="26">
        <v>443.02746383752788</v>
      </c>
      <c r="L45" s="26">
        <v>730277.54999999795</v>
      </c>
      <c r="M45" s="24">
        <v>10.650833909654962</v>
      </c>
      <c r="N45" s="26">
        <v>7778064.8929997245</v>
      </c>
      <c r="O45" s="26">
        <v>8042609.0839999039</v>
      </c>
      <c r="P45" s="25">
        <v>17170</v>
      </c>
      <c r="Q45" s="26">
        <v>468.41054653464789</v>
      </c>
      <c r="R45" s="26">
        <v>8508342.443</v>
      </c>
      <c r="S45" s="24">
        <v>-5.4738436084370949E-2</v>
      </c>
      <c r="T45" s="26">
        <v>-465733.3590000961</v>
      </c>
      <c r="U45" s="26">
        <v>17281229.077000007</v>
      </c>
      <c r="V45" s="25">
        <v>38121</v>
      </c>
      <c r="W45" s="26">
        <v>453.32570176543129</v>
      </c>
      <c r="X45" s="26">
        <v>9238619.99300001</v>
      </c>
      <c r="Y45" s="24">
        <v>0.87054225523874607</v>
      </c>
      <c r="Z45" s="26">
        <v>8042609.083999997</v>
      </c>
    </row>
    <row r="46" spans="2:26">
      <c r="B46" s="15" t="s">
        <v>119</v>
      </c>
      <c r="C46" s="26"/>
      <c r="D46" s="25"/>
      <c r="E46" s="26"/>
      <c r="H46" s="26"/>
      <c r="I46" s="26">
        <v>6186.22</v>
      </c>
      <c r="J46" s="25">
        <v>11</v>
      </c>
      <c r="K46" s="26">
        <v>562.38363636363636</v>
      </c>
      <c r="L46" s="26"/>
      <c r="M46" s="24"/>
      <c r="N46" s="26">
        <v>6186.22</v>
      </c>
      <c r="O46" s="26">
        <v>4749.7899999999963</v>
      </c>
      <c r="P46" s="25">
        <v>13</v>
      </c>
      <c r="Q46" s="26">
        <v>365.36846153846125</v>
      </c>
      <c r="R46" s="26">
        <v>6186.2200000000021</v>
      </c>
      <c r="S46" s="24">
        <v>-0.23219833759549535</v>
      </c>
      <c r="T46" s="26">
        <v>-1436.4300000000057</v>
      </c>
      <c r="U46" s="26">
        <v>10936.010000000002</v>
      </c>
      <c r="V46" s="25">
        <v>24</v>
      </c>
      <c r="W46" s="26">
        <v>455.66708333333344</v>
      </c>
      <c r="X46" s="26">
        <v>6186.2200000000012</v>
      </c>
      <c r="Y46" s="24">
        <v>0.76780166240450554</v>
      </c>
      <c r="Z46" s="26">
        <v>4749.7900000000009</v>
      </c>
    </row>
    <row r="47" spans="2:26">
      <c r="B47" s="15" t="s">
        <v>120</v>
      </c>
      <c r="C47" s="26"/>
      <c r="D47" s="25"/>
      <c r="E47" s="26"/>
      <c r="H47" s="26"/>
      <c r="I47" s="26">
        <v>4339.6200000000017</v>
      </c>
      <c r="J47" s="25">
        <v>11</v>
      </c>
      <c r="K47" s="26">
        <v>394.51090909090925</v>
      </c>
      <c r="L47" s="26"/>
      <c r="M47" s="24"/>
      <c r="N47" s="26">
        <v>4339.6200000000017</v>
      </c>
      <c r="O47" s="26">
        <v>3580.39</v>
      </c>
      <c r="P47" s="25">
        <v>5</v>
      </c>
      <c r="Q47" s="26">
        <v>716.07799999999997</v>
      </c>
      <c r="R47" s="26">
        <v>4339.6200000000008</v>
      </c>
      <c r="S47" s="24">
        <v>-0.17495310649319543</v>
      </c>
      <c r="T47" s="26">
        <v>-759.23000000000093</v>
      </c>
      <c r="U47" s="26">
        <v>7920.0099999999948</v>
      </c>
      <c r="V47" s="25">
        <v>16</v>
      </c>
      <c r="W47" s="26">
        <v>495.00062499999967</v>
      </c>
      <c r="X47" s="26">
        <v>4339.6200000000017</v>
      </c>
      <c r="Y47" s="24">
        <v>0.82504689350680283</v>
      </c>
      <c r="Z47" s="26">
        <v>3580.3899999999931</v>
      </c>
    </row>
    <row r="48" spans="2:26">
      <c r="B48" s="15" t="s">
        <v>121</v>
      </c>
      <c r="C48" s="26"/>
      <c r="D48" s="25"/>
      <c r="E48" s="26"/>
      <c r="H48" s="26"/>
      <c r="I48" s="26">
        <v>536.41000000000008</v>
      </c>
      <c r="J48" s="25">
        <v>1</v>
      </c>
      <c r="K48" s="26">
        <v>536.41000000000008</v>
      </c>
      <c r="L48" s="26"/>
      <c r="M48" s="24"/>
      <c r="N48" s="26">
        <v>536.41000000000008</v>
      </c>
      <c r="O48" s="26"/>
      <c r="P48" s="25"/>
      <c r="Q48" s="26"/>
      <c r="R48" s="26">
        <v>536.41000000000008</v>
      </c>
      <c r="S48" s="24">
        <v>-1</v>
      </c>
      <c r="T48" s="26">
        <v>-536.41000000000008</v>
      </c>
      <c r="U48" s="26">
        <v>536.41000000000008</v>
      </c>
      <c r="V48" s="25">
        <v>1</v>
      </c>
      <c r="W48" s="26">
        <v>536.41000000000008</v>
      </c>
      <c r="X48" s="26">
        <v>536.41000000000008</v>
      </c>
      <c r="Y48" s="24">
        <v>0</v>
      </c>
      <c r="Z48" s="26">
        <v>0</v>
      </c>
    </row>
    <row r="49" spans="2:26">
      <c r="B49" s="15" t="s">
        <v>122</v>
      </c>
      <c r="C49" s="26">
        <v>801948.83999999624</v>
      </c>
      <c r="D49" s="25">
        <v>1829</v>
      </c>
      <c r="E49" s="26">
        <v>438.46300710770709</v>
      </c>
      <c r="H49" s="26">
        <v>801948.83999999624</v>
      </c>
      <c r="I49" s="26">
        <v>9867618.1639995798</v>
      </c>
      <c r="J49" s="25">
        <v>20722</v>
      </c>
      <c r="K49" s="26">
        <v>476.19043354886497</v>
      </c>
      <c r="L49" s="26">
        <v>801948.8399999981</v>
      </c>
      <c r="M49" s="24">
        <v>11.304548210331726</v>
      </c>
      <c r="N49" s="26">
        <v>9065669.3239995819</v>
      </c>
      <c r="O49" s="26">
        <v>9500994.3239996918</v>
      </c>
      <c r="P49" s="25">
        <v>18935</v>
      </c>
      <c r="Q49" s="26">
        <v>501.76891069446486</v>
      </c>
      <c r="R49" s="26">
        <v>9867618.1639999934</v>
      </c>
      <c r="S49" s="24">
        <v>-3.7154238632566311E-2</v>
      </c>
      <c r="T49" s="26">
        <v>-366623.8400003016</v>
      </c>
      <c r="U49" s="26">
        <v>20170561.32800002</v>
      </c>
      <c r="V49" s="25">
        <v>41486</v>
      </c>
      <c r="W49" s="26">
        <v>486.20164219254735</v>
      </c>
      <c r="X49" s="26">
        <v>10669567.004000008</v>
      </c>
      <c r="Y49" s="24">
        <v>0.89047609152631035</v>
      </c>
      <c r="Z49" s="26">
        <v>9500994.3240000121</v>
      </c>
    </row>
  </sheetData>
  <pageMargins left="0.7" right="0.7" top="0.75" bottom="0.75" header="0.3" footer="0.3"/>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B0F9C3-C96A-4BE7-B800-9C3DC3ADD996}">
  <dimension ref="B3:L7"/>
  <sheetViews>
    <sheetView zoomScale="77" workbookViewId="0">
      <selection activeCell="B3" sqref="B3"/>
    </sheetView>
  </sheetViews>
  <sheetFormatPr defaultRowHeight="14.5"/>
  <cols>
    <col min="2" max="2" width="13.453125" bestFit="1" customWidth="1"/>
    <col min="3" max="3" width="17.7265625" bestFit="1" customWidth="1"/>
    <col min="4" max="4" width="21.08984375" bestFit="1" customWidth="1"/>
    <col min="5" max="5" width="19" bestFit="1" customWidth="1"/>
    <col min="6" max="6" width="25.08984375" bestFit="1" customWidth="1"/>
    <col min="7" max="7" width="12.36328125" bestFit="1" customWidth="1"/>
    <col min="8" max="8" width="13.90625" bestFit="1" customWidth="1"/>
    <col min="9" max="9" width="16.6328125" bestFit="1" customWidth="1"/>
    <col min="10" max="10" width="11.1796875" bestFit="1" customWidth="1"/>
    <col min="11" max="11" width="20.1796875" bestFit="1" customWidth="1"/>
    <col min="12" max="12" width="18.7265625" bestFit="1" customWidth="1"/>
  </cols>
  <sheetData>
    <row r="3" spans="2:12">
      <c r="B3" s="23" t="s">
        <v>81</v>
      </c>
      <c r="C3" t="s">
        <v>125</v>
      </c>
      <c r="D3" t="s">
        <v>136</v>
      </c>
      <c r="E3" t="s">
        <v>134</v>
      </c>
      <c r="F3" t="s">
        <v>132</v>
      </c>
      <c r="G3" t="s">
        <v>139</v>
      </c>
      <c r="H3" t="s">
        <v>138</v>
      </c>
      <c r="I3" t="s">
        <v>137</v>
      </c>
      <c r="J3" t="s">
        <v>128</v>
      </c>
      <c r="K3" t="s">
        <v>140</v>
      </c>
      <c r="L3" t="s">
        <v>130</v>
      </c>
    </row>
    <row r="4" spans="2:12">
      <c r="B4" s="15">
        <v>2009</v>
      </c>
      <c r="C4" s="26">
        <v>801948.83999999624</v>
      </c>
      <c r="D4" s="24"/>
      <c r="E4" s="26">
        <v>801948.83999999624</v>
      </c>
      <c r="F4" s="26"/>
      <c r="G4" s="25">
        <v>3074</v>
      </c>
      <c r="H4" s="25">
        <v>445661</v>
      </c>
      <c r="I4" s="25">
        <v>1045</v>
      </c>
      <c r="J4" s="25">
        <v>1829</v>
      </c>
      <c r="K4" s="24">
        <v>1.0026276646795684</v>
      </c>
      <c r="L4" s="26">
        <v>438.46300710770709</v>
      </c>
    </row>
    <row r="5" spans="2:12">
      <c r="B5" s="15">
        <v>2010</v>
      </c>
      <c r="C5" s="26">
        <v>9867618.1639995798</v>
      </c>
      <c r="D5" s="24">
        <v>11.304548210331726</v>
      </c>
      <c r="E5" s="26">
        <v>9065669.3239995819</v>
      </c>
      <c r="F5" s="26">
        <v>801948.8399999981</v>
      </c>
      <c r="G5" s="25">
        <v>3994</v>
      </c>
      <c r="H5" s="25">
        <v>5919794</v>
      </c>
      <c r="I5" s="25">
        <v>4289</v>
      </c>
      <c r="J5" s="25">
        <v>20722</v>
      </c>
      <c r="K5" s="24">
        <v>1.0399451803154354</v>
      </c>
      <c r="L5" s="26">
        <v>476.19043354886497</v>
      </c>
    </row>
    <row r="6" spans="2:12">
      <c r="B6" s="15">
        <v>2011</v>
      </c>
      <c r="C6" s="26">
        <v>9500994.3239996918</v>
      </c>
      <c r="D6" s="24">
        <v>-3.7154238632566311E-2</v>
      </c>
      <c r="E6" s="26">
        <v>-366623.8400003016</v>
      </c>
      <c r="F6" s="26">
        <v>9867618.1639999934</v>
      </c>
      <c r="G6" s="25">
        <v>3732</v>
      </c>
      <c r="H6" s="25">
        <v>5283699</v>
      </c>
      <c r="I6" s="25">
        <v>4244</v>
      </c>
      <c r="J6" s="25">
        <v>18935</v>
      </c>
      <c r="K6" s="24">
        <v>1.0558057643849317</v>
      </c>
      <c r="L6" s="26">
        <v>501.76891069446486</v>
      </c>
    </row>
    <row r="7" spans="2:12">
      <c r="B7" s="15" t="s">
        <v>122</v>
      </c>
      <c r="C7" s="26">
        <v>20170561.32800002</v>
      </c>
      <c r="D7" s="24">
        <v>0.89047609152631035</v>
      </c>
      <c r="E7" s="26">
        <v>9500994.3240000121</v>
      </c>
      <c r="F7" s="26">
        <v>10669567.004000008</v>
      </c>
      <c r="G7" s="25">
        <v>4810</v>
      </c>
      <c r="H7" s="25">
        <v>11649154</v>
      </c>
      <c r="I7" s="25">
        <v>5942</v>
      </c>
      <c r="J7" s="25">
        <v>41486</v>
      </c>
      <c r="K7" s="24">
        <v>1.0457976504678961</v>
      </c>
      <c r="L7" s="26">
        <v>486.20164219254735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BFA1A-6402-4143-BD81-BFEB42A36D3C}">
  <dimension ref="B3:E29"/>
  <sheetViews>
    <sheetView topLeftCell="A2" zoomScale="74" workbookViewId="0">
      <selection activeCell="B27" sqref="B27:E27"/>
    </sheetView>
  </sheetViews>
  <sheetFormatPr defaultRowHeight="14.5"/>
  <cols>
    <col min="2" max="2" width="13.26953125" bestFit="1" customWidth="1"/>
    <col min="3" max="3" width="17.26953125" bestFit="1" customWidth="1"/>
    <col min="4" max="4" width="18.54296875" bestFit="1" customWidth="1"/>
    <col min="5" max="5" width="10.90625" bestFit="1" customWidth="1"/>
  </cols>
  <sheetData>
    <row r="3" spans="2:5">
      <c r="B3" s="23" t="s">
        <v>81</v>
      </c>
      <c r="C3" t="s">
        <v>125</v>
      </c>
      <c r="D3" t="s">
        <v>130</v>
      </c>
      <c r="E3" t="s">
        <v>128</v>
      </c>
    </row>
    <row r="4" spans="2:5">
      <c r="B4" s="15" t="s">
        <v>141</v>
      </c>
      <c r="C4" s="26">
        <v>801948.83999999624</v>
      </c>
      <c r="D4" s="26">
        <v>438.46300710770709</v>
      </c>
      <c r="E4" s="25">
        <v>1829</v>
      </c>
    </row>
    <row r="5" spans="2:5">
      <c r="B5" s="15" t="s">
        <v>142</v>
      </c>
      <c r="C5" s="26">
        <v>623056.82199999923</v>
      </c>
      <c r="D5" s="26">
        <v>524.0175121951213</v>
      </c>
      <c r="E5" s="25">
        <v>1189</v>
      </c>
    </row>
    <row r="6" spans="2:5">
      <c r="B6" s="15" t="s">
        <v>143</v>
      </c>
      <c r="C6" s="26">
        <v>539982.65599999763</v>
      </c>
      <c r="D6" s="26">
        <v>425.18319370078552</v>
      </c>
      <c r="E6" s="25">
        <v>1270</v>
      </c>
    </row>
    <row r="7" spans="2:5">
      <c r="B7" s="15" t="s">
        <v>144</v>
      </c>
      <c r="C7" s="26">
        <v>764776.40099999832</v>
      </c>
      <c r="D7" s="26">
        <v>440.28578065630302</v>
      </c>
      <c r="E7" s="25">
        <v>1737</v>
      </c>
    </row>
    <row r="8" spans="2:5">
      <c r="B8" s="15" t="s">
        <v>145</v>
      </c>
      <c r="C8" s="26">
        <v>649657.38199999614</v>
      </c>
      <c r="D8" s="26">
        <v>435.71923675385386</v>
      </c>
      <c r="E8" s="25">
        <v>1491</v>
      </c>
    </row>
    <row r="9" spans="2:5">
      <c r="B9" s="15" t="s">
        <v>146</v>
      </c>
      <c r="C9" s="26">
        <v>646160.22999999614</v>
      </c>
      <c r="D9" s="26">
        <v>396.41731901840257</v>
      </c>
      <c r="E9" s="25">
        <v>1630</v>
      </c>
    </row>
    <row r="10" spans="2:5">
      <c r="B10" s="15" t="s">
        <v>147</v>
      </c>
      <c r="C10" s="26">
        <v>700597.6999999932</v>
      </c>
      <c r="D10" s="26">
        <v>414.06483451536241</v>
      </c>
      <c r="E10" s="25">
        <v>1692</v>
      </c>
    </row>
    <row r="11" spans="2:5">
      <c r="B11" s="15" t="s">
        <v>148</v>
      </c>
      <c r="C11" s="26">
        <v>635802.0899999988</v>
      </c>
      <c r="D11" s="26">
        <v>405.74479259731896</v>
      </c>
      <c r="E11" s="25">
        <v>1567</v>
      </c>
    </row>
    <row r="12" spans="2:5">
      <c r="B12" s="15" t="s">
        <v>149</v>
      </c>
      <c r="C12" s="26">
        <v>677102.88999999745</v>
      </c>
      <c r="D12" s="26">
        <v>452.91163210702172</v>
      </c>
      <c r="E12" s="25">
        <v>1495</v>
      </c>
    </row>
    <row r="13" spans="2:5">
      <c r="B13" s="15" t="s">
        <v>150</v>
      </c>
      <c r="C13" s="26">
        <v>872407.38099999889</v>
      </c>
      <c r="D13" s="26">
        <v>468.02971083690926</v>
      </c>
      <c r="E13" s="25">
        <v>1864</v>
      </c>
    </row>
    <row r="14" spans="2:5">
      <c r="B14" s="15" t="s">
        <v>151</v>
      </c>
      <c r="C14" s="26">
        <v>1098995.3199999968</v>
      </c>
      <c r="D14" s="26">
        <v>474.31822183858299</v>
      </c>
      <c r="E14" s="25">
        <v>2317</v>
      </c>
    </row>
    <row r="15" spans="2:5">
      <c r="B15" s="15" t="s">
        <v>152</v>
      </c>
      <c r="C15" s="26">
        <v>1443879.162000007</v>
      </c>
      <c r="D15" s="26">
        <v>507.51464393673359</v>
      </c>
      <c r="E15" s="25">
        <v>2845</v>
      </c>
    </row>
    <row r="16" spans="2:5">
      <c r="B16" s="15" t="s">
        <v>153</v>
      </c>
      <c r="C16" s="26">
        <v>1215200.1300000055</v>
      </c>
      <c r="D16" s="26">
        <v>747.81546461538801</v>
      </c>
      <c r="E16" s="25">
        <v>1625</v>
      </c>
    </row>
    <row r="17" spans="2:5">
      <c r="B17" s="15" t="s">
        <v>154</v>
      </c>
      <c r="C17" s="26">
        <v>672207.40999999957</v>
      </c>
      <c r="D17" s="26">
        <v>602.87660089686062</v>
      </c>
      <c r="E17" s="25">
        <v>1115</v>
      </c>
    </row>
    <row r="18" spans="2:5">
      <c r="B18" s="15" t="s">
        <v>155</v>
      </c>
      <c r="C18" s="26">
        <v>509167.87000000046</v>
      </c>
      <c r="D18" s="26">
        <v>454.20862622658382</v>
      </c>
      <c r="E18" s="25">
        <v>1121</v>
      </c>
    </row>
    <row r="19" spans="2:5">
      <c r="B19" s="15" t="s">
        <v>156</v>
      </c>
      <c r="C19" s="26">
        <v>692235.699999996</v>
      </c>
      <c r="D19" s="26">
        <v>456.01824769433199</v>
      </c>
      <c r="E19" s="25">
        <v>1518</v>
      </c>
    </row>
    <row r="20" spans="2:5">
      <c r="B20" s="15" t="s">
        <v>157</v>
      </c>
      <c r="C20" s="26">
        <v>516754.79100000113</v>
      </c>
      <c r="D20" s="26">
        <v>394.77065775401155</v>
      </c>
      <c r="E20" s="25">
        <v>1309</v>
      </c>
    </row>
    <row r="21" spans="2:5">
      <c r="B21" s="15" t="s">
        <v>158</v>
      </c>
      <c r="C21" s="26">
        <v>741726.73999999673</v>
      </c>
      <c r="D21" s="26">
        <v>431.23647674418413</v>
      </c>
      <c r="E21" s="25">
        <v>1720</v>
      </c>
    </row>
    <row r="22" spans="2:5">
      <c r="B22" s="15" t="s">
        <v>159</v>
      </c>
      <c r="C22" s="26">
        <v>739426.87999999954</v>
      </c>
      <c r="D22" s="26">
        <v>471.27270873167595</v>
      </c>
      <c r="E22" s="25">
        <v>1569</v>
      </c>
    </row>
    <row r="23" spans="2:5">
      <c r="B23" s="15" t="s">
        <v>160</v>
      </c>
      <c r="C23" s="26">
        <v>689947.74099999934</v>
      </c>
      <c r="D23" s="26">
        <v>454.81064007910305</v>
      </c>
      <c r="E23" s="25">
        <v>1517</v>
      </c>
    </row>
    <row r="24" spans="2:5">
      <c r="B24" s="15" t="s">
        <v>161</v>
      </c>
      <c r="C24" s="26">
        <v>726005.16000000131</v>
      </c>
      <c r="D24" s="26">
        <v>523.43558759913572</v>
      </c>
      <c r="E24" s="25">
        <v>1387</v>
      </c>
    </row>
    <row r="25" spans="2:5">
      <c r="B25" s="15" t="s">
        <v>162</v>
      </c>
      <c r="C25" s="26">
        <v>1031430.3619999947</v>
      </c>
      <c r="D25" s="26">
        <v>549.21744515441674</v>
      </c>
      <c r="E25" s="25">
        <v>1878</v>
      </c>
    </row>
    <row r="26" spans="2:5">
      <c r="B26" s="15" t="s">
        <v>163</v>
      </c>
      <c r="C26" s="26">
        <v>1107449.5399999942</v>
      </c>
      <c r="D26" s="26">
        <v>528.11136862183798</v>
      </c>
      <c r="E26" s="25">
        <v>2097</v>
      </c>
    </row>
    <row r="27" spans="2:5">
      <c r="B27" s="15" t="s">
        <v>164</v>
      </c>
      <c r="C27" s="26">
        <v>1458925.529999997</v>
      </c>
      <c r="D27" s="26">
        <v>508.86833972793755</v>
      </c>
      <c r="E27" s="25">
        <v>2867</v>
      </c>
    </row>
    <row r="28" spans="2:5">
      <c r="B28" s="15" t="s">
        <v>165</v>
      </c>
      <c r="C28" s="26">
        <v>615716.60000000417</v>
      </c>
      <c r="D28" s="26">
        <v>735.62317801673134</v>
      </c>
      <c r="E28" s="25">
        <v>837</v>
      </c>
    </row>
    <row r="29" spans="2:5">
      <c r="B29" s="15" t="s">
        <v>122</v>
      </c>
      <c r="C29" s="26">
        <v>20170561.32800002</v>
      </c>
      <c r="D29" s="26">
        <v>486.20164219254735</v>
      </c>
      <c r="E29" s="25">
        <v>41486</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142F85-F437-498C-A1B6-72008C214031}">
  <dimension ref="C3:AB16"/>
  <sheetViews>
    <sheetView topLeftCell="C1" zoomScale="63" workbookViewId="0">
      <selection activeCell="Y5421" sqref="Y5421"/>
    </sheetView>
  </sheetViews>
  <sheetFormatPr defaultRowHeight="14.5"/>
  <cols>
    <col min="3" max="3" width="36.6328125" bestFit="1" customWidth="1"/>
    <col min="4" max="4" width="14.08984375" bestFit="1" customWidth="1"/>
    <col min="5" max="5" width="11.08984375" bestFit="1" customWidth="1"/>
    <col min="6" max="6" width="17.81640625" bestFit="1" customWidth="1"/>
    <col min="10" max="10" width="36.6328125" bestFit="1" customWidth="1"/>
    <col min="11" max="11" width="17.81640625" bestFit="1" customWidth="1"/>
    <col min="25" max="25" width="36.6328125" bestFit="1" customWidth="1"/>
    <col min="26" max="26" width="14.08984375" bestFit="1" customWidth="1"/>
    <col min="27" max="27" width="17.81640625" bestFit="1" customWidth="1"/>
    <col min="28" max="28" width="11.08984375" bestFit="1" customWidth="1"/>
  </cols>
  <sheetData>
    <row r="3" spans="3:28">
      <c r="C3" s="23" t="s">
        <v>182</v>
      </c>
      <c r="D3" t="s" vm="1">
        <v>39</v>
      </c>
      <c r="J3" s="23" t="s">
        <v>182</v>
      </c>
      <c r="K3" t="s" vm="2">
        <v>39</v>
      </c>
      <c r="Y3" s="23" t="s">
        <v>182</v>
      </c>
      <c r="Z3" t="s" vm="2">
        <v>39</v>
      </c>
    </row>
    <row r="5" spans="3:28">
      <c r="C5" s="23" t="s">
        <v>81</v>
      </c>
      <c r="D5" t="s">
        <v>138</v>
      </c>
      <c r="E5" t="s">
        <v>128</v>
      </c>
      <c r="F5" t="s">
        <v>125</v>
      </c>
      <c r="J5" s="23" t="s">
        <v>81</v>
      </c>
      <c r="K5" t="s">
        <v>125</v>
      </c>
      <c r="Y5" s="23" t="s">
        <v>81</v>
      </c>
      <c r="Z5" t="s">
        <v>138</v>
      </c>
      <c r="AA5" t="s">
        <v>125</v>
      </c>
      <c r="AB5" t="s">
        <v>128</v>
      </c>
    </row>
    <row r="6" spans="3:28">
      <c r="C6" s="15" t="s">
        <v>177</v>
      </c>
      <c r="D6" s="25">
        <v>27594</v>
      </c>
      <c r="E6" s="25">
        <v>3920</v>
      </c>
      <c r="F6" s="26">
        <v>344563.25000000006</v>
      </c>
      <c r="J6" s="15" t="s">
        <v>168</v>
      </c>
      <c r="K6" s="26">
        <v>132187.92000000033</v>
      </c>
      <c r="Y6" s="15" t="s">
        <v>166</v>
      </c>
      <c r="Z6" s="25">
        <v>176195</v>
      </c>
      <c r="AA6" s="26">
        <v>0</v>
      </c>
      <c r="AB6" s="25">
        <v>1633</v>
      </c>
    </row>
    <row r="7" spans="3:28">
      <c r="C7" s="15" t="s">
        <v>180</v>
      </c>
      <c r="D7" s="25">
        <v>100749</v>
      </c>
      <c r="E7" s="25">
        <v>5470</v>
      </c>
      <c r="F7" s="26">
        <v>267102.06000000075</v>
      </c>
      <c r="J7" s="15" t="s">
        <v>170</v>
      </c>
      <c r="K7" s="26">
        <v>85489.91000000028</v>
      </c>
      <c r="Y7" s="15" t="s">
        <v>167</v>
      </c>
      <c r="Z7" s="25">
        <v>54716</v>
      </c>
      <c r="AA7" s="26">
        <v>27404.22</v>
      </c>
      <c r="AB7" s="25">
        <v>2127</v>
      </c>
    </row>
    <row r="8" spans="3:28">
      <c r="C8" s="15" t="s">
        <v>171</v>
      </c>
      <c r="D8" s="25">
        <v>98775</v>
      </c>
      <c r="E8" s="25">
        <v>4018</v>
      </c>
      <c r="F8" s="26">
        <v>185566.46999999977</v>
      </c>
      <c r="J8" s="15" t="s">
        <v>171</v>
      </c>
      <c r="K8" s="26">
        <v>150935.55999999974</v>
      </c>
      <c r="Y8" s="15" t="s">
        <v>168</v>
      </c>
      <c r="Z8" s="25">
        <v>81817</v>
      </c>
      <c r="AA8" s="26">
        <v>132187.92000000033</v>
      </c>
      <c r="AB8" s="25">
        <v>2808</v>
      </c>
    </row>
    <row r="9" spans="3:28">
      <c r="C9" s="15" t="s">
        <v>175</v>
      </c>
      <c r="D9" s="25">
        <v>80995</v>
      </c>
      <c r="E9" s="25">
        <v>1</v>
      </c>
      <c r="F9" s="26">
        <v>168469.6</v>
      </c>
      <c r="J9" s="15" t="s">
        <v>172</v>
      </c>
      <c r="K9" s="26">
        <v>81700.919999999969</v>
      </c>
      <c r="Y9" s="15" t="s">
        <v>169</v>
      </c>
      <c r="Z9" s="25">
        <v>71440</v>
      </c>
      <c r="AA9" s="26">
        <v>14959.190000000075</v>
      </c>
      <c r="AB9" s="25">
        <v>457</v>
      </c>
    </row>
    <row r="10" spans="3:28">
      <c r="C10" s="15" t="s">
        <v>176</v>
      </c>
      <c r="D10" s="25">
        <v>28426</v>
      </c>
      <c r="E10" s="25">
        <v>2677</v>
      </c>
      <c r="F10" s="26">
        <v>149187.05000000072</v>
      </c>
      <c r="J10" s="15" t="s">
        <v>174</v>
      </c>
      <c r="K10" s="26">
        <v>123141.53999999994</v>
      </c>
      <c r="Y10" s="15" t="s">
        <v>171</v>
      </c>
      <c r="Z10" s="25">
        <v>79285</v>
      </c>
      <c r="AA10" s="26">
        <v>150935.55999999974</v>
      </c>
      <c r="AB10" s="25">
        <v>3273</v>
      </c>
    </row>
    <row r="11" spans="3:28">
      <c r="C11" s="15" t="s">
        <v>168</v>
      </c>
      <c r="D11" s="25">
        <v>81817</v>
      </c>
      <c r="E11" s="25">
        <v>2808</v>
      </c>
      <c r="F11" s="26">
        <v>132187.92000000033</v>
      </c>
      <c r="J11" s="15" t="s">
        <v>175</v>
      </c>
      <c r="K11" s="26">
        <v>168469.6</v>
      </c>
      <c r="Y11" s="15" t="s">
        <v>172</v>
      </c>
      <c r="Z11" s="25">
        <v>78033</v>
      </c>
      <c r="AA11" s="26">
        <v>81700.919999999969</v>
      </c>
      <c r="AB11" s="25">
        <v>247</v>
      </c>
    </row>
    <row r="12" spans="3:28">
      <c r="C12" s="15" t="s">
        <v>174</v>
      </c>
      <c r="D12" s="25">
        <v>36610</v>
      </c>
      <c r="E12" s="25">
        <v>2019</v>
      </c>
      <c r="F12" s="26">
        <v>123141.53999999994</v>
      </c>
      <c r="J12" s="15" t="s">
        <v>176</v>
      </c>
      <c r="K12" s="26">
        <v>149187.05000000072</v>
      </c>
      <c r="Y12" s="15" t="s">
        <v>173</v>
      </c>
      <c r="Z12" s="25">
        <v>56794</v>
      </c>
      <c r="AA12" s="26">
        <v>28490.980000000025</v>
      </c>
      <c r="AB12" s="25">
        <v>1993</v>
      </c>
    </row>
    <row r="13" spans="3:28">
      <c r="C13" s="15" t="s">
        <v>170</v>
      </c>
      <c r="D13" s="25">
        <v>16987</v>
      </c>
      <c r="E13" s="25">
        <v>1149</v>
      </c>
      <c r="F13" s="26">
        <v>85489.91000000028</v>
      </c>
      <c r="J13" s="15" t="s">
        <v>177</v>
      </c>
      <c r="K13" s="26">
        <v>344563.25000000006</v>
      </c>
      <c r="Y13" s="15" t="s">
        <v>175</v>
      </c>
      <c r="Z13" s="25">
        <v>80995</v>
      </c>
      <c r="AA13" s="26">
        <v>168469.6</v>
      </c>
      <c r="AB13" s="25">
        <v>1</v>
      </c>
    </row>
    <row r="14" spans="3:28">
      <c r="C14" s="15" t="s">
        <v>172</v>
      </c>
      <c r="D14" s="25">
        <v>78033</v>
      </c>
      <c r="E14" s="25">
        <v>247</v>
      </c>
      <c r="F14" s="26">
        <v>81700.919999999969</v>
      </c>
      <c r="J14" s="15" t="s">
        <v>178</v>
      </c>
      <c r="K14" s="26">
        <v>74448.920000000231</v>
      </c>
      <c r="Y14" s="15" t="s">
        <v>180</v>
      </c>
      <c r="Z14" s="25">
        <v>96688</v>
      </c>
      <c r="AA14" s="26">
        <v>266923.55000000075</v>
      </c>
      <c r="AB14" s="25">
        <v>5460</v>
      </c>
    </row>
    <row r="15" spans="3:28">
      <c r="C15" s="15" t="s">
        <v>179</v>
      </c>
      <c r="D15" s="25">
        <v>90392</v>
      </c>
      <c r="E15" s="25">
        <v>2329</v>
      </c>
      <c r="F15" s="26">
        <v>80920.63999999965</v>
      </c>
      <c r="J15" s="15" t="s">
        <v>180</v>
      </c>
      <c r="K15" s="26">
        <v>266923.55000000075</v>
      </c>
      <c r="Y15" s="15" t="s">
        <v>181</v>
      </c>
      <c r="Z15" s="25">
        <v>110249</v>
      </c>
      <c r="AA15" s="26">
        <v>25259.89999999994</v>
      </c>
      <c r="AB15" s="25">
        <v>1021</v>
      </c>
    </row>
    <row r="16" spans="3:28">
      <c r="C16" s="15" t="s">
        <v>122</v>
      </c>
      <c r="D16" s="25">
        <v>640378</v>
      </c>
      <c r="E16" s="25">
        <v>16727</v>
      </c>
      <c r="F16" s="26">
        <v>1618329.3599999985</v>
      </c>
      <c r="J16" s="15" t="s">
        <v>122</v>
      </c>
      <c r="K16" s="26">
        <v>1577048.2200000004</v>
      </c>
      <c r="Y16" s="15" t="s">
        <v>122</v>
      </c>
      <c r="Z16" s="25">
        <v>886212</v>
      </c>
      <c r="AA16" s="26">
        <v>896331.84000000032</v>
      </c>
      <c r="AB16" s="25">
        <v>14323</v>
      </c>
    </row>
  </sheetData>
  <sortState xmlns:xlrd2="http://schemas.microsoft.com/office/spreadsheetml/2017/richdata2" ref="Y5:AB16">
    <sortCondition descending="1" ref="AA5"/>
  </sortState>
  <pageMargins left="0.7" right="0.7" top="0.75" bottom="0.75" header="0.3" footer="0.3"/>
  <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4A930E-5CEA-4C92-8ADF-BADF65B1A79A}">
  <dimension ref="B3:J15"/>
  <sheetViews>
    <sheetView workbookViewId="0">
      <selection activeCell="P2" sqref="P2"/>
    </sheetView>
  </sheetViews>
  <sheetFormatPr defaultRowHeight="14.5"/>
  <cols>
    <col min="2" max="2" width="12.36328125" bestFit="1" customWidth="1"/>
    <col min="3" max="3" width="13.6328125" bestFit="1" customWidth="1"/>
    <col min="4" max="4" width="17.1796875" bestFit="1" customWidth="1"/>
    <col min="5" max="5" width="10.90625" bestFit="1" customWidth="1"/>
    <col min="9" max="9" width="12.36328125" bestFit="1" customWidth="1"/>
    <col min="10" max="10" width="17.1796875" bestFit="1" customWidth="1"/>
  </cols>
  <sheetData>
    <row r="3" spans="2:10">
      <c r="B3" s="23" t="s">
        <v>81</v>
      </c>
      <c r="C3" t="s">
        <v>138</v>
      </c>
      <c r="D3" t="s">
        <v>125</v>
      </c>
      <c r="E3" t="s">
        <v>128</v>
      </c>
    </row>
    <row r="4" spans="2:10">
      <c r="B4" s="15" t="s">
        <v>166</v>
      </c>
      <c r="C4" s="25">
        <v>943392</v>
      </c>
      <c r="D4" s="26">
        <v>2717942.1200000294</v>
      </c>
      <c r="E4" s="25">
        <v>4801</v>
      </c>
      <c r="I4" s="23" t="s">
        <v>81</v>
      </c>
      <c r="J4" t="s">
        <v>125</v>
      </c>
    </row>
    <row r="5" spans="2:10">
      <c r="B5" s="15" t="s">
        <v>183</v>
      </c>
      <c r="C5" s="25">
        <v>189205</v>
      </c>
      <c r="D5" s="26">
        <v>196482.80999999985</v>
      </c>
      <c r="E5" s="25">
        <v>143</v>
      </c>
      <c r="I5" s="15" t="s">
        <v>166</v>
      </c>
      <c r="J5" s="26">
        <v>2717942.1200000294</v>
      </c>
    </row>
    <row r="6" spans="2:10">
      <c r="B6" s="15" t="s">
        <v>184</v>
      </c>
      <c r="C6" s="25">
        <v>165987</v>
      </c>
      <c r="D6" s="26">
        <v>305767.92000000214</v>
      </c>
      <c r="E6" s="25">
        <v>151</v>
      </c>
      <c r="I6" s="15" t="s">
        <v>183</v>
      </c>
      <c r="J6" s="26">
        <v>196482.80999999985</v>
      </c>
    </row>
    <row r="7" spans="2:10">
      <c r="B7" s="15" t="s">
        <v>185</v>
      </c>
      <c r="C7" s="25">
        <v>367712</v>
      </c>
      <c r="D7" s="26">
        <v>526751.51999999839</v>
      </c>
      <c r="E7" s="25">
        <v>146</v>
      </c>
      <c r="I7" s="15" t="s">
        <v>184</v>
      </c>
      <c r="J7" s="26">
        <v>305767.92000000214</v>
      </c>
    </row>
    <row r="8" spans="2:10">
      <c r="B8" s="15" t="s">
        <v>186</v>
      </c>
      <c r="C8" s="25">
        <v>150218</v>
      </c>
      <c r="D8" s="26">
        <v>284592.97000000096</v>
      </c>
      <c r="E8" s="25">
        <v>379</v>
      </c>
      <c r="I8" s="15" t="s">
        <v>185</v>
      </c>
      <c r="J8" s="26">
        <v>526751.51999999839</v>
      </c>
    </row>
    <row r="9" spans="2:10">
      <c r="B9" s="15" t="s">
        <v>187</v>
      </c>
      <c r="C9" s="25">
        <v>80997</v>
      </c>
      <c r="D9" s="26">
        <v>168472.5</v>
      </c>
      <c r="E9" s="25">
        <v>2</v>
      </c>
      <c r="I9" s="15" t="s">
        <v>186</v>
      </c>
      <c r="J9" s="26">
        <v>284592.97000000096</v>
      </c>
    </row>
    <row r="10" spans="2:10">
      <c r="B10" s="15" t="s">
        <v>188</v>
      </c>
      <c r="C10" s="25">
        <v>104810</v>
      </c>
      <c r="D10" s="26">
        <v>147142.7699999999</v>
      </c>
      <c r="E10" s="25">
        <v>55</v>
      </c>
      <c r="I10" s="15" t="s">
        <v>187</v>
      </c>
      <c r="J10" s="26">
        <v>168472.5</v>
      </c>
    </row>
    <row r="11" spans="2:10">
      <c r="B11" s="15" t="s">
        <v>189</v>
      </c>
      <c r="C11" s="25">
        <v>85368</v>
      </c>
      <c r="D11" s="26">
        <v>246973.09</v>
      </c>
      <c r="E11" s="25">
        <v>51</v>
      </c>
      <c r="I11" s="15" t="s">
        <v>188</v>
      </c>
      <c r="J11" s="26">
        <v>147142.7699999999</v>
      </c>
    </row>
    <row r="12" spans="2:10">
      <c r="B12" s="15" t="s">
        <v>190</v>
      </c>
      <c r="C12" s="25">
        <v>119656</v>
      </c>
      <c r="D12" s="26">
        <v>175603.55000000005</v>
      </c>
      <c r="E12" s="25">
        <v>60</v>
      </c>
      <c r="I12" s="15" t="s">
        <v>189</v>
      </c>
      <c r="J12" s="26">
        <v>246973.09</v>
      </c>
    </row>
    <row r="13" spans="2:10">
      <c r="B13" s="15" t="s">
        <v>191</v>
      </c>
      <c r="C13" s="25">
        <v>188340</v>
      </c>
      <c r="D13" s="26">
        <v>608821.64999999909</v>
      </c>
      <c r="E13" s="25">
        <v>145</v>
      </c>
      <c r="I13" s="15" t="s">
        <v>190</v>
      </c>
      <c r="J13" s="26">
        <v>175603.55000000005</v>
      </c>
    </row>
    <row r="14" spans="2:10">
      <c r="B14" s="15" t="s">
        <v>122</v>
      </c>
      <c r="C14" s="25">
        <v>2395685</v>
      </c>
      <c r="D14" s="26">
        <v>5378550.8999999939</v>
      </c>
      <c r="E14" s="25">
        <v>5933</v>
      </c>
      <c r="I14" s="15" t="s">
        <v>191</v>
      </c>
      <c r="J14" s="26">
        <v>608821.64999999909</v>
      </c>
    </row>
    <row r="15" spans="2:10">
      <c r="I15" s="15" t="s">
        <v>122</v>
      </c>
      <c r="J15" s="26">
        <v>5378550.8999999939</v>
      </c>
    </row>
  </sheetData>
  <sortState xmlns:xlrd2="http://schemas.microsoft.com/office/spreadsheetml/2017/richdata2" ref="B3:E5870">
    <sortCondition descending="1" ref="C3"/>
  </sortState>
  <pageMargins left="0.7" right="0.7" top="0.75" bottom="0.75" header="0.3" footer="0.3"/>
  <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EA02B-71C6-469F-AA9D-F3254E00D658}">
  <dimension ref="B4:E15"/>
  <sheetViews>
    <sheetView zoomScale="78" workbookViewId="0">
      <selection activeCell="F20" sqref="F20"/>
    </sheetView>
  </sheetViews>
  <sheetFormatPr defaultRowHeight="14.5"/>
  <cols>
    <col min="2" max="2" width="13.26953125" bestFit="1" customWidth="1"/>
    <col min="3" max="3" width="18.54296875" bestFit="1" customWidth="1"/>
    <col min="4" max="4" width="11.08984375" bestFit="1" customWidth="1"/>
    <col min="5" max="5" width="17.453125" bestFit="1" customWidth="1"/>
    <col min="6" max="6" width="20.36328125" bestFit="1" customWidth="1"/>
  </cols>
  <sheetData>
    <row r="4" spans="2:5">
      <c r="B4" s="23" t="s">
        <v>81</v>
      </c>
      <c r="C4" t="s">
        <v>130</v>
      </c>
      <c r="D4" t="s">
        <v>128</v>
      </c>
      <c r="E4" t="s">
        <v>125</v>
      </c>
    </row>
    <row r="5" spans="2:5">
      <c r="B5" s="15" t="s">
        <v>166</v>
      </c>
      <c r="C5" s="26">
        <v>566.12000000000614</v>
      </c>
      <c r="D5" s="25">
        <v>4801</v>
      </c>
      <c r="E5" s="26">
        <v>2717942.1200000294</v>
      </c>
    </row>
    <row r="6" spans="2:5">
      <c r="B6" s="15" t="s">
        <v>183</v>
      </c>
      <c r="C6" s="26">
        <v>1374.0056643356634</v>
      </c>
      <c r="D6" s="25">
        <v>143</v>
      </c>
      <c r="E6" s="26">
        <v>196482.80999999985</v>
      </c>
    </row>
    <row r="7" spans="2:5">
      <c r="B7" s="15" t="s">
        <v>184</v>
      </c>
      <c r="C7" s="26">
        <v>2024.9531125827957</v>
      </c>
      <c r="D7" s="25">
        <v>151</v>
      </c>
      <c r="E7" s="26">
        <v>305767.92000000214</v>
      </c>
    </row>
    <row r="8" spans="2:5">
      <c r="B8" s="15" t="s">
        <v>185</v>
      </c>
      <c r="C8" s="26">
        <v>3607.8871232876604</v>
      </c>
      <c r="D8" s="25">
        <v>146</v>
      </c>
      <c r="E8" s="26">
        <v>526751.51999999839</v>
      </c>
    </row>
    <row r="9" spans="2:5">
      <c r="B9" s="15" t="s">
        <v>186</v>
      </c>
      <c r="C9" s="26">
        <v>750.90493403694188</v>
      </c>
      <c r="D9" s="25">
        <v>379</v>
      </c>
      <c r="E9" s="26">
        <v>284592.97000000096</v>
      </c>
    </row>
    <row r="10" spans="2:5">
      <c r="B10" s="15" t="s">
        <v>187</v>
      </c>
      <c r="C10" s="26">
        <v>84236.25</v>
      </c>
      <c r="D10" s="25">
        <v>2</v>
      </c>
      <c r="E10" s="26">
        <v>168472.5</v>
      </c>
    </row>
    <row r="11" spans="2:5">
      <c r="B11" s="15" t="s">
        <v>188</v>
      </c>
      <c r="C11" s="26">
        <v>2675.3230909090889</v>
      </c>
      <c r="D11" s="25">
        <v>55</v>
      </c>
      <c r="E11" s="26">
        <v>147142.7699999999</v>
      </c>
    </row>
    <row r="12" spans="2:5">
      <c r="B12" s="15" t="s">
        <v>189</v>
      </c>
      <c r="C12" s="26">
        <v>4842.6096078431374</v>
      </c>
      <c r="D12" s="25">
        <v>51</v>
      </c>
      <c r="E12" s="26">
        <v>246973.09</v>
      </c>
    </row>
    <row r="13" spans="2:5">
      <c r="B13" s="15" t="s">
        <v>190</v>
      </c>
      <c r="C13" s="26">
        <v>2926.7258333333343</v>
      </c>
      <c r="D13" s="25">
        <v>60</v>
      </c>
      <c r="E13" s="26">
        <v>175603.55000000005</v>
      </c>
    </row>
    <row r="14" spans="2:5">
      <c r="B14" s="15" t="s">
        <v>191</v>
      </c>
      <c r="C14" s="26">
        <v>4198.7699999999941</v>
      </c>
      <c r="D14" s="25">
        <v>145</v>
      </c>
      <c r="E14" s="26">
        <v>608821.64999999909</v>
      </c>
    </row>
    <row r="15" spans="2:5">
      <c r="B15" s="15" t="s">
        <v>122</v>
      </c>
      <c r="C15" s="26">
        <v>906.54827237485154</v>
      </c>
      <c r="D15" s="25">
        <v>5933</v>
      </c>
      <c r="E15" s="26">
        <v>5378550.8999999939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405A4F-6FEF-4434-89D5-0B414168B8A3}">
  <dimension ref="E7:H15"/>
  <sheetViews>
    <sheetView topLeftCell="J4" zoomScale="115" workbookViewId="0">
      <selection activeCell="E7" sqref="E7"/>
    </sheetView>
  </sheetViews>
  <sheetFormatPr defaultRowHeight="14.5"/>
  <cols>
    <col min="5" max="5" width="12.36328125" bestFit="1" customWidth="1"/>
    <col min="6" max="6" width="18.26953125" bestFit="1" customWidth="1"/>
    <col min="7" max="7" width="17.1796875" bestFit="1" customWidth="1"/>
    <col min="8" max="8" width="10.90625" bestFit="1" customWidth="1"/>
  </cols>
  <sheetData>
    <row r="7" spans="5:8">
      <c r="E7" s="23" t="s">
        <v>81</v>
      </c>
      <c r="F7" t="s">
        <v>130</v>
      </c>
      <c r="G7" t="s">
        <v>125</v>
      </c>
      <c r="H7" t="s">
        <v>128</v>
      </c>
    </row>
    <row r="8" spans="5:8">
      <c r="E8" s="15" t="s">
        <v>192</v>
      </c>
      <c r="F8" s="26">
        <v>509.21589361365818</v>
      </c>
      <c r="G8" s="26">
        <v>3221299.7430000016</v>
      </c>
      <c r="H8" s="25">
        <v>6326</v>
      </c>
    </row>
    <row r="9" spans="5:8">
      <c r="E9" s="15" t="s">
        <v>193</v>
      </c>
      <c r="F9" s="26">
        <v>524.42828635885405</v>
      </c>
      <c r="G9" s="26">
        <v>3486923.6760000205</v>
      </c>
      <c r="H9" s="25">
        <v>6649</v>
      </c>
    </row>
    <row r="10" spans="5:8">
      <c r="E10" s="15" t="s">
        <v>194</v>
      </c>
      <c r="F10" s="26">
        <v>326.76833333333332</v>
      </c>
      <c r="G10" s="26">
        <v>9803.0499999999993</v>
      </c>
      <c r="H10" s="25">
        <v>30</v>
      </c>
    </row>
    <row r="11" spans="5:8">
      <c r="E11" s="15" t="s">
        <v>195</v>
      </c>
      <c r="F11" s="26">
        <v>379.66352081176535</v>
      </c>
      <c r="G11" s="26">
        <v>1833395.1420000149</v>
      </c>
      <c r="H11" s="25">
        <v>4829</v>
      </c>
    </row>
    <row r="12" spans="5:8">
      <c r="E12" s="15" t="s">
        <v>196</v>
      </c>
      <c r="F12" s="26">
        <v>483.6734348744431</v>
      </c>
      <c r="G12" s="26">
        <v>4121865.0120000043</v>
      </c>
      <c r="H12" s="25">
        <v>8522</v>
      </c>
    </row>
    <row r="13" spans="5:8">
      <c r="E13" s="15" t="s">
        <v>197</v>
      </c>
      <c r="F13" s="26">
        <v>521.90787526041981</v>
      </c>
      <c r="G13" s="26">
        <v>4008252.4820000245</v>
      </c>
      <c r="H13" s="25">
        <v>7680</v>
      </c>
    </row>
    <row r="14" spans="5:8">
      <c r="E14" s="15" t="s">
        <v>198</v>
      </c>
      <c r="F14" s="26">
        <v>468.32513060402795</v>
      </c>
      <c r="G14" s="26">
        <v>3489022.2230000081</v>
      </c>
      <c r="H14" s="25">
        <v>7450</v>
      </c>
    </row>
    <row r="15" spans="5:8">
      <c r="E15" s="15" t="s">
        <v>122</v>
      </c>
      <c r="F15" s="26">
        <v>486.20164219254735</v>
      </c>
      <c r="G15" s="26">
        <v>20170561.32800002</v>
      </c>
      <c r="H15" s="25">
        <v>41486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6A275-B393-47AC-ABEC-153636610F69}">
  <dimension ref="B3:AN30"/>
  <sheetViews>
    <sheetView topLeftCell="A3" zoomScale="83" workbookViewId="0">
      <selection activeCell="AL33" sqref="AL33"/>
    </sheetView>
  </sheetViews>
  <sheetFormatPr defaultRowHeight="14.5"/>
  <cols>
    <col min="2" max="2" width="12.36328125" bestFit="1" customWidth="1"/>
    <col min="3" max="3" width="17.1796875" bestFit="1" customWidth="1"/>
    <col min="5" max="5" width="12.1796875" customWidth="1"/>
    <col min="6" max="6" width="20" customWidth="1"/>
    <col min="7" max="7" width="25.26953125" customWidth="1"/>
    <col min="8" max="8" width="20.90625" customWidth="1"/>
    <col min="9" max="9" width="16.54296875" customWidth="1"/>
    <col min="10" max="10" width="24.453125" customWidth="1"/>
    <col min="11" max="11" width="17.1796875" style="32" customWidth="1"/>
    <col min="12" max="12" width="19.1796875" customWidth="1"/>
    <col min="13" max="13" width="21.453125" customWidth="1"/>
    <col min="14" max="14" width="17.36328125" customWidth="1"/>
    <col min="15" max="15" width="18.453125" customWidth="1"/>
    <col min="16" max="16" width="18.90625" customWidth="1"/>
    <col min="18" max="18" width="18.7265625" customWidth="1"/>
    <col min="19" max="19" width="17.90625" customWidth="1"/>
    <col min="20" max="20" width="21.54296875" customWidth="1"/>
    <col min="21" max="21" width="16.54296875" customWidth="1"/>
    <col min="22" max="22" width="16.453125" customWidth="1"/>
    <col min="23" max="23" width="18" customWidth="1"/>
    <col min="25" max="25" width="14.7265625" customWidth="1"/>
    <col min="26" max="27" width="15.54296875" customWidth="1"/>
    <col min="28" max="28" width="15.453125" customWidth="1"/>
    <col min="29" max="29" width="16.90625" customWidth="1"/>
    <col min="30" max="30" width="17.6328125" customWidth="1"/>
    <col min="31" max="31" width="18.90625" customWidth="1"/>
    <col min="36" max="36" width="23.54296875" customWidth="1"/>
    <col min="37" max="37" width="14.6328125" customWidth="1"/>
    <col min="38" max="38" width="18.1796875" customWidth="1"/>
    <col min="39" max="39" width="18.90625" customWidth="1"/>
    <col min="40" max="40" width="16.6328125" customWidth="1"/>
  </cols>
  <sheetData>
    <row r="3" spans="2:31">
      <c r="B3" s="23" t="s">
        <v>81</v>
      </c>
      <c r="C3" t="s">
        <v>125</v>
      </c>
      <c r="E3" s="19" t="s">
        <v>199</v>
      </c>
      <c r="F3" s="19" t="s">
        <v>200</v>
      </c>
      <c r="G3" s="18" t="s">
        <v>201</v>
      </c>
      <c r="H3" s="19" t="s">
        <v>202</v>
      </c>
      <c r="I3" s="18" t="s">
        <v>203</v>
      </c>
      <c r="J3" s="19" t="s">
        <v>204</v>
      </c>
      <c r="K3" s="31" t="s">
        <v>205</v>
      </c>
      <c r="L3" s="19" t="s">
        <v>206</v>
      </c>
      <c r="M3" s="19" t="s">
        <v>207</v>
      </c>
      <c r="N3" s="19" t="s">
        <v>208</v>
      </c>
      <c r="O3" s="19" t="s">
        <v>209</v>
      </c>
      <c r="P3" s="19" t="s">
        <v>210</v>
      </c>
      <c r="R3" s="19" t="s">
        <v>211</v>
      </c>
      <c r="S3" s="19" t="s">
        <v>212</v>
      </c>
      <c r="T3" s="19" t="s">
        <v>202</v>
      </c>
      <c r="U3" s="19" t="s">
        <v>213</v>
      </c>
      <c r="V3" s="19" t="s">
        <v>210</v>
      </c>
      <c r="W3" s="19" t="s">
        <v>206</v>
      </c>
      <c r="Y3" s="19" t="s">
        <v>201</v>
      </c>
      <c r="Z3" s="19" t="s">
        <v>212</v>
      </c>
      <c r="AA3" s="19" t="s">
        <v>206</v>
      </c>
      <c r="AB3" s="19" t="s">
        <v>208</v>
      </c>
      <c r="AC3" s="19" t="s">
        <v>209</v>
      </c>
      <c r="AD3" s="18" t="s">
        <v>222</v>
      </c>
      <c r="AE3" s="18" t="s">
        <v>223</v>
      </c>
    </row>
    <row r="4" spans="2:31">
      <c r="B4" s="15" t="s">
        <v>141</v>
      </c>
      <c r="C4" s="26">
        <v>801948.83999999927</v>
      </c>
      <c r="E4" s="15" t="s">
        <v>141</v>
      </c>
      <c r="F4" s="26">
        <v>801948.83999999927</v>
      </c>
      <c r="G4" s="27">
        <f>DATE(LEFT(E4,4),RIGHT(E4,2),1)</f>
        <v>40148</v>
      </c>
      <c r="R4" s="33">
        <v>40695</v>
      </c>
      <c r="S4" s="28">
        <v>739426.88000000163</v>
      </c>
      <c r="T4" s="28">
        <f>F21</f>
        <v>741726.73999999871</v>
      </c>
      <c r="U4" s="34">
        <f>AVERAGE(F19:F21)</f>
        <v>650239.07699999819</v>
      </c>
      <c r="V4" s="30">
        <f>_xlfn.FORECAST.LINEAR(R4,$F$4:F21,$G$4:G21)</f>
        <v>826093.84531106055</v>
      </c>
      <c r="W4" s="17">
        <f>_xlfn.FORECAST.ETS(R4,$F$4:F21,$G$4:G21,12,1,1)</f>
        <v>755876.9085079357</v>
      </c>
      <c r="Y4" s="27">
        <f>G4</f>
        <v>40148</v>
      </c>
      <c r="Z4" s="28">
        <f>F4</f>
        <v>801948.83999999927</v>
      </c>
    </row>
    <row r="5" spans="2:31">
      <c r="B5" s="15" t="s">
        <v>142</v>
      </c>
      <c r="C5" s="26">
        <v>623056.82200000109</v>
      </c>
      <c r="E5" s="15" t="s">
        <v>142</v>
      </c>
      <c r="F5" s="26">
        <v>623056.82200000109</v>
      </c>
      <c r="G5" s="27">
        <f t="shared" ref="G5:G27" si="0">DATE(LEFT(E5,4),RIGHT(E5,2),1)</f>
        <v>40179</v>
      </c>
      <c r="H5" s="28">
        <f>F4</f>
        <v>801948.83999999927</v>
      </c>
      <c r="I5" s="29">
        <f>F5-H5</f>
        <v>-178892.01799999818</v>
      </c>
      <c r="R5" s="33">
        <v>40725</v>
      </c>
      <c r="S5" s="28">
        <v>689947.74099999783</v>
      </c>
      <c r="T5" s="34">
        <f>S4</f>
        <v>739426.88000000163</v>
      </c>
      <c r="U5" s="34">
        <f>AVERAGE(F20:F22)</f>
        <v>665969.47033333371</v>
      </c>
      <c r="V5" s="17">
        <f>_xlfn.FORECAST.LINEAR(R5,$F$4:F22,$G$4:G22)</f>
        <v>814043.3118753843</v>
      </c>
      <c r="W5" s="17">
        <f>_xlfn.FORECAST.ETS(R5,$F$4:F22,$G$4:G22,12,1,1)</f>
        <v>676821.13616699225</v>
      </c>
      <c r="Y5" s="27">
        <f t="shared" ref="Y5:Y27" si="1">G5</f>
        <v>40179</v>
      </c>
      <c r="Z5" s="28">
        <f t="shared" ref="Z5:Z27" si="2">F5</f>
        <v>623056.82200000109</v>
      </c>
    </row>
    <row r="6" spans="2:31">
      <c r="B6" s="15" t="s">
        <v>143</v>
      </c>
      <c r="C6" s="26">
        <v>539982.65599999635</v>
      </c>
      <c r="E6" s="15" t="s">
        <v>143</v>
      </c>
      <c r="F6" s="26">
        <v>539982.65599999635</v>
      </c>
      <c r="G6" s="27">
        <f t="shared" si="0"/>
        <v>40210</v>
      </c>
      <c r="H6" s="28">
        <f t="shared" ref="H6:H27" si="3">F5</f>
        <v>623056.82200000109</v>
      </c>
      <c r="I6" s="29">
        <f t="shared" ref="I6:I27" si="4">F6-H6</f>
        <v>-83074.166000004741</v>
      </c>
      <c r="R6" s="33">
        <v>40756</v>
      </c>
      <c r="S6" s="28">
        <v>726005.16000000131</v>
      </c>
      <c r="T6" s="34">
        <f t="shared" ref="T6:T9" si="5">S5</f>
        <v>689947.74099999783</v>
      </c>
      <c r="U6" s="34">
        <f t="shared" ref="U6:U9" si="6">AVERAGE(F21:F23)</f>
        <v>723700.45366666606</v>
      </c>
      <c r="V6" s="17">
        <f>_xlfn.FORECAST.LINEAR(R6,$F$4:F23,$G$4:G23)</f>
        <v>794216.96222502878</v>
      </c>
      <c r="W6" s="17">
        <f>_xlfn.FORECAST.ETS(R6,$F$4:F23,$G$4:G23,12,1,1)</f>
        <v>722556.53315035207</v>
      </c>
      <c r="Y6" s="27">
        <f t="shared" si="1"/>
        <v>40210</v>
      </c>
      <c r="Z6" s="28">
        <f t="shared" si="2"/>
        <v>539982.65599999635</v>
      </c>
    </row>
    <row r="7" spans="2:31">
      <c r="B7" s="15" t="s">
        <v>144</v>
      </c>
      <c r="C7" s="26">
        <v>764776.40099999821</v>
      </c>
      <c r="E7" s="15" t="s">
        <v>144</v>
      </c>
      <c r="F7" s="26">
        <v>764776.40099999821</v>
      </c>
      <c r="G7" s="27">
        <f t="shared" si="0"/>
        <v>40238</v>
      </c>
      <c r="H7" s="28">
        <f t="shared" si="3"/>
        <v>539982.65599999635</v>
      </c>
      <c r="I7" s="29">
        <f t="shared" si="4"/>
        <v>224793.74500000186</v>
      </c>
      <c r="J7" s="28">
        <f>AVERAGE(F4:F6)</f>
        <v>654996.10599999886</v>
      </c>
      <c r="K7" s="32">
        <f>F7-J7</f>
        <v>109780.29499999934</v>
      </c>
      <c r="R7" s="33">
        <v>40787</v>
      </c>
      <c r="S7" s="28">
        <v>1031430.3619999989</v>
      </c>
      <c r="T7" s="34">
        <f t="shared" si="5"/>
        <v>726005.16000000131</v>
      </c>
      <c r="U7" s="34">
        <f t="shared" si="6"/>
        <v>718459.92700000014</v>
      </c>
      <c r="V7" s="17">
        <f>_xlfn.FORECAST.LINEAR(R7,$F$4:F24,$G$4:G24)</f>
        <v>784368.2744601625</v>
      </c>
      <c r="W7" s="17">
        <f>_xlfn.FORECAST.ETS(R7,$F$4:F24,$G$4:G24,12,1,1)</f>
        <v>915496.94473105355</v>
      </c>
      <c r="Y7" s="27">
        <f t="shared" si="1"/>
        <v>40238</v>
      </c>
      <c r="Z7" s="28">
        <f t="shared" si="2"/>
        <v>764776.40099999821</v>
      </c>
    </row>
    <row r="8" spans="2:31">
      <c r="B8" s="15" t="s">
        <v>145</v>
      </c>
      <c r="C8" s="26">
        <v>649657.38199999614</v>
      </c>
      <c r="E8" s="15" t="s">
        <v>145</v>
      </c>
      <c r="F8" s="26">
        <v>649657.38199999614</v>
      </c>
      <c r="G8" s="27">
        <f t="shared" si="0"/>
        <v>40269</v>
      </c>
      <c r="H8" s="28">
        <f t="shared" si="3"/>
        <v>764776.40099999821</v>
      </c>
      <c r="I8" s="29">
        <f t="shared" si="4"/>
        <v>-115119.01900000207</v>
      </c>
      <c r="J8" s="28">
        <f t="shared" ref="J8:J28" si="7">AVERAGE(F5:F7)</f>
        <v>642605.29299999855</v>
      </c>
      <c r="K8" s="32">
        <f t="shared" ref="K8:K27" si="8">F8-J8</f>
        <v>7052.0889999975916</v>
      </c>
      <c r="R8" s="33">
        <v>40817</v>
      </c>
      <c r="S8" s="28">
        <v>1107449.5399999949</v>
      </c>
      <c r="T8" s="34">
        <f t="shared" si="5"/>
        <v>1031430.3619999989</v>
      </c>
      <c r="U8" s="34">
        <f t="shared" si="6"/>
        <v>815794.42099999927</v>
      </c>
      <c r="V8" s="17">
        <f>_xlfn.FORECAST.LINEAR(R8,$F$4:F25,$G$4:G25)</f>
        <v>831572.1631707577</v>
      </c>
      <c r="W8" s="17">
        <f>_xlfn.FORECAST.ETS(R8,$F$4:F25,$G$4:G25,12,1,1)</f>
        <v>1205733.2954013173</v>
      </c>
      <c r="Y8" s="27">
        <f t="shared" si="1"/>
        <v>40269</v>
      </c>
      <c r="Z8" s="28">
        <f t="shared" si="2"/>
        <v>649657.38199999614</v>
      </c>
    </row>
    <row r="9" spans="2:31">
      <c r="B9" s="15" t="s">
        <v>146</v>
      </c>
      <c r="C9" s="26">
        <v>646160.22999999404</v>
      </c>
      <c r="E9" s="15" t="s">
        <v>146</v>
      </c>
      <c r="F9" s="26">
        <v>646160.22999999404</v>
      </c>
      <c r="G9" s="27">
        <f t="shared" si="0"/>
        <v>40299</v>
      </c>
      <c r="H9" s="28">
        <f t="shared" si="3"/>
        <v>649657.38199999614</v>
      </c>
      <c r="I9" s="29">
        <f t="shared" si="4"/>
        <v>-3497.1520000020973</v>
      </c>
      <c r="J9" s="28">
        <f t="shared" si="7"/>
        <v>651472.14633333019</v>
      </c>
      <c r="K9" s="32">
        <f t="shared" si="8"/>
        <v>-5311.9163333361503</v>
      </c>
      <c r="R9" s="33">
        <v>40848</v>
      </c>
      <c r="S9" s="28">
        <v>1458925.5299999956</v>
      </c>
      <c r="T9" s="34">
        <f t="shared" si="5"/>
        <v>1107449.5399999949</v>
      </c>
      <c r="U9" s="34">
        <f t="shared" si="6"/>
        <v>954961.68733333179</v>
      </c>
      <c r="V9" s="17">
        <f>_xlfn.FORECAST.LINEAR(R9,$F$4:F26,$G$4:G26)</f>
        <v>884909.9144025594</v>
      </c>
      <c r="W9" s="17">
        <f>_xlfn.FORECAST.ETS(R9,$F$4:F26,$G$4:G26,12,1,1)</f>
        <v>1475109.3612110582</v>
      </c>
      <c r="Y9" s="27">
        <f t="shared" si="1"/>
        <v>40299</v>
      </c>
      <c r="Z9" s="28">
        <f t="shared" si="2"/>
        <v>646160.22999999404</v>
      </c>
    </row>
    <row r="10" spans="2:31">
      <c r="B10" s="15" t="s">
        <v>147</v>
      </c>
      <c r="C10" s="26">
        <v>700597.69999999634</v>
      </c>
      <c r="E10" s="15" t="s">
        <v>147</v>
      </c>
      <c r="F10" s="26">
        <v>700597.69999999634</v>
      </c>
      <c r="G10" s="27">
        <f t="shared" si="0"/>
        <v>40330</v>
      </c>
      <c r="H10" s="28">
        <f t="shared" si="3"/>
        <v>646160.22999999404</v>
      </c>
      <c r="I10" s="29">
        <f t="shared" si="4"/>
        <v>54437.4700000023</v>
      </c>
      <c r="J10" s="28">
        <f t="shared" si="7"/>
        <v>686864.67099999601</v>
      </c>
      <c r="K10" s="32">
        <f t="shared" si="8"/>
        <v>13733.02900000033</v>
      </c>
      <c r="Y10" s="27">
        <f t="shared" si="1"/>
        <v>40330</v>
      </c>
      <c r="Z10" s="28">
        <f t="shared" si="2"/>
        <v>700597.69999999634</v>
      </c>
    </row>
    <row r="11" spans="2:31">
      <c r="B11" s="15" t="s">
        <v>148</v>
      </c>
      <c r="C11" s="26">
        <v>635802.08999999904</v>
      </c>
      <c r="E11" s="15" t="s">
        <v>148</v>
      </c>
      <c r="F11" s="26">
        <v>635802.08999999904</v>
      </c>
      <c r="G11" s="27">
        <f t="shared" si="0"/>
        <v>40360</v>
      </c>
      <c r="H11" s="28">
        <f t="shared" si="3"/>
        <v>700597.69999999634</v>
      </c>
      <c r="I11" s="29">
        <f t="shared" si="4"/>
        <v>-64795.609999997308</v>
      </c>
      <c r="J11" s="28">
        <f t="shared" si="7"/>
        <v>665471.77066666214</v>
      </c>
      <c r="K11" s="32">
        <f t="shared" si="8"/>
        <v>-29669.680666663102</v>
      </c>
      <c r="Y11" s="27">
        <f t="shared" si="1"/>
        <v>40360</v>
      </c>
      <c r="Z11" s="28">
        <f t="shared" si="2"/>
        <v>635802.08999999904</v>
      </c>
    </row>
    <row r="12" spans="2:31">
      <c r="B12" s="15" t="s">
        <v>149</v>
      </c>
      <c r="C12" s="26">
        <v>677102.8899999978</v>
      </c>
      <c r="E12" s="15" t="s">
        <v>149</v>
      </c>
      <c r="F12" s="26">
        <v>677102.8899999978</v>
      </c>
      <c r="G12" s="27">
        <f t="shared" si="0"/>
        <v>40391</v>
      </c>
      <c r="H12" s="28">
        <f t="shared" si="3"/>
        <v>635802.08999999904</v>
      </c>
      <c r="I12" s="29">
        <f t="shared" si="4"/>
        <v>41300.799999998766</v>
      </c>
      <c r="J12" s="28">
        <f t="shared" si="7"/>
        <v>660853.33999999647</v>
      </c>
      <c r="K12" s="32">
        <f t="shared" si="8"/>
        <v>16249.550000001327</v>
      </c>
      <c r="R12" s="18" t="s">
        <v>214</v>
      </c>
      <c r="S12" s="19" t="s">
        <v>221</v>
      </c>
      <c r="T12" s="19" t="s">
        <v>215</v>
      </c>
      <c r="U12" s="19" t="s">
        <v>216</v>
      </c>
      <c r="V12" s="19" t="s">
        <v>217</v>
      </c>
      <c r="Y12" s="27">
        <f t="shared" si="1"/>
        <v>40391</v>
      </c>
      <c r="Z12" s="28">
        <f t="shared" si="2"/>
        <v>677102.8899999978</v>
      </c>
    </row>
    <row r="13" spans="2:31">
      <c r="B13" s="15" t="s">
        <v>150</v>
      </c>
      <c r="C13" s="26">
        <v>872407.38099999831</v>
      </c>
      <c r="E13" s="15" t="s">
        <v>150</v>
      </c>
      <c r="F13" s="26">
        <v>872407.38099999831</v>
      </c>
      <c r="G13" s="27">
        <f t="shared" si="0"/>
        <v>40422</v>
      </c>
      <c r="H13" s="28">
        <f t="shared" si="3"/>
        <v>677102.8899999978</v>
      </c>
      <c r="I13" s="29">
        <f t="shared" si="4"/>
        <v>195304.4910000005</v>
      </c>
      <c r="J13" s="28">
        <f t="shared" si="7"/>
        <v>671167.55999999773</v>
      </c>
      <c r="K13" s="32">
        <f t="shared" si="8"/>
        <v>201239.82100000058</v>
      </c>
      <c r="R13" s="18" t="s">
        <v>218</v>
      </c>
      <c r="S13" s="30">
        <f>SUMPRODUCT(ABS($S$4:$S$9-T$4:T$9))/COUNT($S$4:$S$9)</f>
        <v>136792.79799999978</v>
      </c>
      <c r="T13" s="30">
        <f>SUMPRODUCT(ABS($S$4:$S$9-U$4:U$9))/COUNT($S$4:$S$9)</f>
        <v>204010.02944444353</v>
      </c>
      <c r="U13" s="30">
        <f>SUMPRODUCT(ABS($S$4:$S$9-V$4:V$9))/COUNT($S$4:$S$9)</f>
        <v>229321.56972966378</v>
      </c>
      <c r="V13" s="30">
        <f>SUMPRODUCT(ABS($S$4:$S$9-W$4:W$9))/COUNT($S$4:$S$9)</f>
        <v>43904.377345319874</v>
      </c>
      <c r="Y13" s="27">
        <f t="shared" si="1"/>
        <v>40422</v>
      </c>
      <c r="Z13" s="28">
        <f t="shared" si="2"/>
        <v>872407.38099999831</v>
      </c>
    </row>
    <row r="14" spans="2:31">
      <c r="B14" s="15" t="s">
        <v>151</v>
      </c>
      <c r="C14" s="26">
        <v>1098995.3199999982</v>
      </c>
      <c r="E14" s="15" t="s">
        <v>151</v>
      </c>
      <c r="F14" s="26">
        <v>1098995.3199999982</v>
      </c>
      <c r="G14" s="27">
        <f t="shared" si="0"/>
        <v>40452</v>
      </c>
      <c r="H14" s="28">
        <f t="shared" si="3"/>
        <v>872407.38099999831</v>
      </c>
      <c r="I14" s="29">
        <f t="shared" si="4"/>
        <v>226587.9389999999</v>
      </c>
      <c r="J14" s="28">
        <f t="shared" si="7"/>
        <v>728437.45366666501</v>
      </c>
      <c r="K14" s="32">
        <f t="shared" si="8"/>
        <v>370557.86633333319</v>
      </c>
      <c r="R14" s="18" t="s">
        <v>219</v>
      </c>
      <c r="S14" s="30">
        <f>SQRT(SUMPRODUCT(($S$4:$S$9-T$4:T$9)^2)/COUNT($S$4:$S$9))</f>
        <v>194230.29844498087</v>
      </c>
      <c r="T14" s="30">
        <f>SQRT(SUMPRODUCT(($S$4:$S$9-U$4:U$9)^2)/COUNT($S$4:$S$9))</f>
        <v>272496.9387221791</v>
      </c>
      <c r="U14" s="30">
        <f>SQRT(SUMPRODUCT(($S$4:$S$9-V$4:V$9)^2)/COUNT($S$4:$S$9))</f>
        <v>286997.57625147555</v>
      </c>
      <c r="V14" s="30">
        <f>SQRT(SUMPRODUCT(($S$4:$S$9-W$4:W$9)^2)/COUNT($S$4:$S$9))</f>
        <v>63003.93430521142</v>
      </c>
      <c r="Y14" s="27">
        <f t="shared" si="1"/>
        <v>40452</v>
      </c>
      <c r="Z14" s="28">
        <f t="shared" si="2"/>
        <v>1098995.3199999982</v>
      </c>
    </row>
    <row r="15" spans="2:31">
      <c r="B15" s="15" t="s">
        <v>152</v>
      </c>
      <c r="C15" s="26">
        <v>1443879.162000003</v>
      </c>
      <c r="E15" s="15" t="s">
        <v>152</v>
      </c>
      <c r="F15" s="26">
        <v>1443879.162000003</v>
      </c>
      <c r="G15" s="27">
        <f t="shared" si="0"/>
        <v>40483</v>
      </c>
      <c r="H15" s="28">
        <f t="shared" si="3"/>
        <v>1098995.3199999982</v>
      </c>
      <c r="I15" s="29">
        <f t="shared" si="4"/>
        <v>344883.84200000484</v>
      </c>
      <c r="J15" s="28">
        <f t="shared" si="7"/>
        <v>882835.19699999818</v>
      </c>
      <c r="K15" s="32">
        <f t="shared" si="8"/>
        <v>561043.96500000486</v>
      </c>
      <c r="R15" s="22" t="s">
        <v>220</v>
      </c>
      <c r="S15" s="30">
        <f>SUMPRODUCT(ABS(($S$4:$S$9-T$4:T$9)/$S$4:$S$9))/COUNT($S$4:$S$9)</f>
        <v>0.1216943364986152</v>
      </c>
      <c r="T15" s="30">
        <f>SUMPRODUCT(ABS(($S$4:$S$9-U$4:U$9)/$S$4:$S$9))/COUNT($S$4:$S$9)</f>
        <v>0.17846192547308629</v>
      </c>
      <c r="U15" s="30">
        <f>SUMPRODUCT(ABS(($S$4:$S$9-V$4:V$9)/$S$4:$S$9))/COUNT($S$4:$S$9)</f>
        <v>0.21218675286814481</v>
      </c>
      <c r="V15" s="30">
        <f>SUMPRODUCT(ABS(($S$4:$S$9-W$4:W$9)/$S$4:$S$9))/COUNT($S$4:$S$9)</f>
        <v>4.3044015077098124E-2</v>
      </c>
      <c r="Y15" s="27">
        <f t="shared" si="1"/>
        <v>40483</v>
      </c>
      <c r="Z15" s="28">
        <f t="shared" si="2"/>
        <v>1443879.162000003</v>
      </c>
    </row>
    <row r="16" spans="2:31">
      <c r="B16" s="15" t="s">
        <v>153</v>
      </c>
      <c r="C16" s="26">
        <v>1215200.1299999983</v>
      </c>
      <c r="E16" s="15" t="s">
        <v>153</v>
      </c>
      <c r="F16" s="26">
        <v>1215200.1299999983</v>
      </c>
      <c r="G16" s="27">
        <f t="shared" si="0"/>
        <v>40513</v>
      </c>
      <c r="H16" s="28">
        <f t="shared" si="3"/>
        <v>1443879.162000003</v>
      </c>
      <c r="I16" s="29">
        <f t="shared" si="4"/>
        <v>-228679.03200000478</v>
      </c>
      <c r="J16" s="28">
        <f t="shared" si="7"/>
        <v>1138427.2876666666</v>
      </c>
      <c r="K16" s="32">
        <f t="shared" si="8"/>
        <v>76772.842333331704</v>
      </c>
      <c r="R16" s="35"/>
      <c r="Y16" s="27">
        <f t="shared" si="1"/>
        <v>40513</v>
      </c>
      <c r="Z16" s="28">
        <f t="shared" si="2"/>
        <v>1215200.1299999983</v>
      </c>
    </row>
    <row r="17" spans="2:40">
      <c r="B17" s="15" t="s">
        <v>154</v>
      </c>
      <c r="C17" s="26">
        <v>672207.40999999479</v>
      </c>
      <c r="E17" s="15" t="s">
        <v>154</v>
      </c>
      <c r="F17" s="26">
        <v>672207.40999999479</v>
      </c>
      <c r="G17" s="27">
        <f t="shared" si="0"/>
        <v>40544</v>
      </c>
      <c r="H17" s="28">
        <f t="shared" si="3"/>
        <v>1215200.1299999983</v>
      </c>
      <c r="I17" s="29">
        <f t="shared" si="4"/>
        <v>-542992.72000000346</v>
      </c>
      <c r="J17" s="28">
        <f t="shared" si="7"/>
        <v>1252691.5373333332</v>
      </c>
      <c r="K17" s="32">
        <f t="shared" si="8"/>
        <v>-580484.12733333837</v>
      </c>
      <c r="Y17" s="27">
        <f t="shared" si="1"/>
        <v>40544</v>
      </c>
      <c r="Z17" s="28">
        <f t="shared" si="2"/>
        <v>672207.40999999479</v>
      </c>
    </row>
    <row r="18" spans="2:40">
      <c r="B18" s="15" t="s">
        <v>155</v>
      </c>
      <c r="C18" s="26">
        <v>509167.87000000023</v>
      </c>
      <c r="E18" s="15" t="s">
        <v>155</v>
      </c>
      <c r="F18" s="26">
        <v>509167.87000000023</v>
      </c>
      <c r="G18" s="27">
        <f t="shared" si="0"/>
        <v>40575</v>
      </c>
      <c r="H18" s="28">
        <f t="shared" si="3"/>
        <v>672207.40999999479</v>
      </c>
      <c r="I18" s="29">
        <f t="shared" si="4"/>
        <v>-163039.53999999457</v>
      </c>
      <c r="J18" s="28">
        <f t="shared" si="7"/>
        <v>1110428.9006666653</v>
      </c>
      <c r="K18" s="32">
        <f t="shared" si="8"/>
        <v>-601261.03066666506</v>
      </c>
      <c r="Y18" s="27">
        <f t="shared" si="1"/>
        <v>40575</v>
      </c>
      <c r="Z18" s="28">
        <f t="shared" si="2"/>
        <v>509167.87000000023</v>
      </c>
    </row>
    <row r="19" spans="2:40">
      <c r="B19" s="15" t="s">
        <v>156</v>
      </c>
      <c r="C19" s="26">
        <v>692235.69999999518</v>
      </c>
      <c r="E19" s="15" t="s">
        <v>156</v>
      </c>
      <c r="F19" s="26">
        <v>692235.69999999518</v>
      </c>
      <c r="G19" s="27">
        <f t="shared" si="0"/>
        <v>40603</v>
      </c>
      <c r="H19" s="28">
        <f t="shared" si="3"/>
        <v>509167.87000000023</v>
      </c>
      <c r="I19" s="29">
        <f t="shared" si="4"/>
        <v>183067.82999999495</v>
      </c>
      <c r="J19" s="28">
        <f t="shared" si="7"/>
        <v>798858.46999999776</v>
      </c>
      <c r="K19" s="32">
        <f t="shared" si="8"/>
        <v>-106622.77000000258</v>
      </c>
      <c r="Y19" s="27">
        <f t="shared" si="1"/>
        <v>40603</v>
      </c>
      <c r="Z19" s="28">
        <f t="shared" si="2"/>
        <v>692235.69999999518</v>
      </c>
    </row>
    <row r="20" spans="2:40">
      <c r="B20" s="15" t="s">
        <v>157</v>
      </c>
      <c r="C20" s="26">
        <v>516754.79100000073</v>
      </c>
      <c r="E20" s="15" t="s">
        <v>157</v>
      </c>
      <c r="F20" s="26">
        <v>516754.79100000073</v>
      </c>
      <c r="G20" s="27">
        <f t="shared" si="0"/>
        <v>40634</v>
      </c>
      <c r="H20" s="28">
        <f t="shared" si="3"/>
        <v>692235.69999999518</v>
      </c>
      <c r="I20" s="29">
        <f t="shared" si="4"/>
        <v>-175480.90899999446</v>
      </c>
      <c r="J20" s="28">
        <f t="shared" si="7"/>
        <v>624536.99333333003</v>
      </c>
      <c r="K20" s="32">
        <f t="shared" si="8"/>
        <v>-107782.2023333293</v>
      </c>
      <c r="Y20" s="27">
        <f t="shared" si="1"/>
        <v>40634</v>
      </c>
      <c r="Z20" s="28">
        <f t="shared" si="2"/>
        <v>516754.79100000073</v>
      </c>
    </row>
    <row r="21" spans="2:40" ht="15" thickBot="1">
      <c r="B21" s="15" t="s">
        <v>158</v>
      </c>
      <c r="C21" s="26">
        <v>741726.73999999871</v>
      </c>
      <c r="E21" s="15" t="s">
        <v>158</v>
      </c>
      <c r="F21" s="26">
        <v>741726.73999999871</v>
      </c>
      <c r="G21" s="27">
        <f t="shared" si="0"/>
        <v>40664</v>
      </c>
      <c r="H21" s="28">
        <f t="shared" si="3"/>
        <v>516754.79100000073</v>
      </c>
      <c r="I21" s="29">
        <f t="shared" si="4"/>
        <v>224971.94899999799</v>
      </c>
      <c r="J21" s="28">
        <f t="shared" si="7"/>
        <v>572719.45366666536</v>
      </c>
      <c r="K21" s="32">
        <f t="shared" si="8"/>
        <v>169007.28633333335</v>
      </c>
      <c r="Y21" s="27">
        <f t="shared" si="1"/>
        <v>40664</v>
      </c>
      <c r="Z21" s="28">
        <f t="shared" si="2"/>
        <v>741726.73999999871</v>
      </c>
    </row>
    <row r="22" spans="2:40" ht="15" thickBot="1">
      <c r="B22" s="15" t="s">
        <v>159</v>
      </c>
      <c r="C22" s="26">
        <v>739426.88000000163</v>
      </c>
      <c r="E22" s="15" t="s">
        <v>159</v>
      </c>
      <c r="F22" s="26">
        <v>739426.88000000163</v>
      </c>
      <c r="G22" s="27">
        <f t="shared" si="0"/>
        <v>40695</v>
      </c>
      <c r="H22" s="28">
        <f t="shared" si="3"/>
        <v>741726.73999999871</v>
      </c>
      <c r="I22" s="29">
        <f t="shared" si="4"/>
        <v>-2299.8599999970756</v>
      </c>
      <c r="J22" s="28">
        <f t="shared" si="7"/>
        <v>650239.07699999819</v>
      </c>
      <c r="K22" s="32">
        <f t="shared" si="8"/>
        <v>89187.803000003449</v>
      </c>
      <c r="Y22" s="27">
        <f t="shared" si="1"/>
        <v>40695</v>
      </c>
      <c r="Z22" s="28">
        <f t="shared" si="2"/>
        <v>739426.88000000163</v>
      </c>
      <c r="AJ22" s="46" t="s">
        <v>233</v>
      </c>
    </row>
    <row r="23" spans="2:40">
      <c r="B23" s="15" t="s">
        <v>160</v>
      </c>
      <c r="C23" s="26">
        <v>689947.74099999783</v>
      </c>
      <c r="E23" s="15" t="s">
        <v>160</v>
      </c>
      <c r="F23" s="26">
        <v>689947.74099999783</v>
      </c>
      <c r="G23" s="27">
        <f t="shared" si="0"/>
        <v>40725</v>
      </c>
      <c r="H23" s="28">
        <f t="shared" si="3"/>
        <v>739426.88000000163</v>
      </c>
      <c r="I23" s="29">
        <f t="shared" si="4"/>
        <v>-49479.139000003808</v>
      </c>
      <c r="J23" s="28">
        <f t="shared" si="7"/>
        <v>665969.47033333371</v>
      </c>
      <c r="K23" s="32">
        <f t="shared" si="8"/>
        <v>23978.270666664117</v>
      </c>
      <c r="Y23" s="27">
        <f t="shared" si="1"/>
        <v>40725</v>
      </c>
      <c r="Z23" s="28">
        <f t="shared" si="2"/>
        <v>689947.74099999783</v>
      </c>
      <c r="AJ23" s="36" t="s">
        <v>224</v>
      </c>
      <c r="AK23" s="37" t="s">
        <v>225</v>
      </c>
      <c r="AL23" s="37" t="s">
        <v>226</v>
      </c>
      <c r="AM23" s="37" t="s">
        <v>227</v>
      </c>
      <c r="AN23" s="38" t="s">
        <v>228</v>
      </c>
    </row>
    <row r="24" spans="2:40" ht="15" thickBot="1">
      <c r="B24" s="15" t="s">
        <v>161</v>
      </c>
      <c r="C24" s="26">
        <v>726005.16000000131</v>
      </c>
      <c r="E24" s="15" t="s">
        <v>161</v>
      </c>
      <c r="F24" s="26">
        <v>726005.16000000131</v>
      </c>
      <c r="G24" s="27">
        <f t="shared" si="0"/>
        <v>40756</v>
      </c>
      <c r="H24" s="28">
        <f t="shared" si="3"/>
        <v>689947.74099999783</v>
      </c>
      <c r="I24" s="29">
        <f t="shared" si="4"/>
        <v>36057.419000003487</v>
      </c>
      <c r="J24" s="28">
        <f t="shared" si="7"/>
        <v>723700.45366666606</v>
      </c>
      <c r="K24" s="32">
        <f t="shared" si="8"/>
        <v>2304.7063333352562</v>
      </c>
      <c r="Y24" s="27">
        <f t="shared" si="1"/>
        <v>40756</v>
      </c>
      <c r="Z24" s="28">
        <f t="shared" si="2"/>
        <v>726005.16000000131</v>
      </c>
      <c r="AJ24" s="39" t="s">
        <v>217</v>
      </c>
      <c r="AK24" s="40">
        <v>4.2999999999999997E-2</v>
      </c>
      <c r="AL24" s="41">
        <v>1234273.4099999999</v>
      </c>
      <c r="AM24" s="41">
        <v>1047110.59</v>
      </c>
      <c r="AN24" s="42">
        <v>1421436.23</v>
      </c>
    </row>
    <row r="25" spans="2:40" ht="15" thickBot="1">
      <c r="B25" s="15" t="s">
        <v>162</v>
      </c>
      <c r="C25" s="26">
        <v>1031430.3619999989</v>
      </c>
      <c r="E25" s="15" t="s">
        <v>162</v>
      </c>
      <c r="F25" s="26">
        <v>1031430.3619999989</v>
      </c>
      <c r="G25" s="27">
        <f t="shared" si="0"/>
        <v>40787</v>
      </c>
      <c r="H25" s="28">
        <f t="shared" si="3"/>
        <v>726005.16000000131</v>
      </c>
      <c r="I25" s="29">
        <f t="shared" si="4"/>
        <v>305425.2019999976</v>
      </c>
      <c r="J25" s="28">
        <f t="shared" si="7"/>
        <v>718459.92700000014</v>
      </c>
      <c r="K25" s="32">
        <f t="shared" si="8"/>
        <v>312970.43499999878</v>
      </c>
      <c r="Y25" s="27">
        <f t="shared" si="1"/>
        <v>40787</v>
      </c>
      <c r="Z25" s="28">
        <f t="shared" si="2"/>
        <v>1031430.3619999989</v>
      </c>
    </row>
    <row r="26" spans="2:40" ht="15" thickBot="1">
      <c r="B26" s="15" t="s">
        <v>163</v>
      </c>
      <c r="C26" s="26">
        <v>1107449.5399999949</v>
      </c>
      <c r="E26" s="15" t="s">
        <v>163</v>
      </c>
      <c r="F26" s="26">
        <v>1107449.5399999949</v>
      </c>
      <c r="G26" s="27">
        <f t="shared" si="0"/>
        <v>40817</v>
      </c>
      <c r="H26" s="28">
        <f t="shared" si="3"/>
        <v>1031430.3619999989</v>
      </c>
      <c r="I26" s="29">
        <f t="shared" si="4"/>
        <v>76019.177999995998</v>
      </c>
      <c r="J26" s="28">
        <f t="shared" si="7"/>
        <v>815794.42099999927</v>
      </c>
      <c r="K26" s="32">
        <f t="shared" si="8"/>
        <v>291655.11899999564</v>
      </c>
      <c r="Y26" s="27">
        <f t="shared" si="1"/>
        <v>40817</v>
      </c>
      <c r="Z26" s="28">
        <f t="shared" si="2"/>
        <v>1107449.5399999949</v>
      </c>
      <c r="AJ26" s="44" t="s">
        <v>229</v>
      </c>
    </row>
    <row r="27" spans="2:40" ht="66.5" customHeight="1" thickBot="1">
      <c r="B27" s="15" t="s">
        <v>164</v>
      </c>
      <c r="C27" s="26">
        <v>1458925.5299999956</v>
      </c>
      <c r="E27" s="15" t="s">
        <v>164</v>
      </c>
      <c r="F27" s="26">
        <v>1458925.5299999956</v>
      </c>
      <c r="G27" s="27">
        <f t="shared" si="0"/>
        <v>40848</v>
      </c>
      <c r="H27" s="28">
        <f t="shared" si="3"/>
        <v>1107449.5399999949</v>
      </c>
      <c r="I27" s="29">
        <f t="shared" si="4"/>
        <v>351475.99000000069</v>
      </c>
      <c r="J27" s="28">
        <f t="shared" si="7"/>
        <v>954961.68733333179</v>
      </c>
      <c r="K27" s="32">
        <f t="shared" si="8"/>
        <v>503963.84266666381</v>
      </c>
      <c r="Y27" s="27">
        <f t="shared" si="1"/>
        <v>40848</v>
      </c>
      <c r="Z27" s="28">
        <f t="shared" si="2"/>
        <v>1458925.5299999956</v>
      </c>
      <c r="AA27" s="28">
        <f>F27</f>
        <v>1458925.5299999956</v>
      </c>
      <c r="AJ27" s="77" t="s">
        <v>230</v>
      </c>
      <c r="AK27" s="78"/>
      <c r="AL27" s="78"/>
      <c r="AM27" s="78"/>
      <c r="AN27" s="79"/>
    </row>
    <row r="28" spans="2:40" ht="15" thickBot="1">
      <c r="B28" s="15" t="s">
        <v>165</v>
      </c>
      <c r="C28" s="26">
        <v>615716.60000000254</v>
      </c>
      <c r="E28" s="15"/>
      <c r="G28" s="27">
        <v>40878</v>
      </c>
      <c r="H28" s="28">
        <f>F27</f>
        <v>1458925.5299999956</v>
      </c>
      <c r="I28" s="4"/>
      <c r="J28" s="28">
        <f t="shared" si="7"/>
        <v>1199268.4773333299</v>
      </c>
      <c r="L28" s="30">
        <f>_xlfn.FORECAST.ETS(G28,$F$4:$F$27,$G$4:$G$27,12,1,1)</f>
        <v>1234273.4054165592</v>
      </c>
      <c r="M28" s="30">
        <f>_xlfn.FORECAST.ETS.CONFINT(G28,$F$4:$F$27,$G$4:$G$27,0.95,12,1,1)</f>
        <v>187162.82003678364</v>
      </c>
      <c r="N28" s="17">
        <f>L28-M28</f>
        <v>1047110.5853797756</v>
      </c>
      <c r="O28" s="17">
        <f>L28+M28</f>
        <v>1421436.2254533428</v>
      </c>
      <c r="P28" s="30">
        <f>_xlfn.FORECAST.LINEAR(G28,$F$4:$F$27,$G$4:$G$27)</f>
        <v>988814.28589714319</v>
      </c>
      <c r="Y28" s="27">
        <f>G28</f>
        <v>40878</v>
      </c>
      <c r="AA28" s="34">
        <f>L28</f>
        <v>1234273.4054165592</v>
      </c>
      <c r="AB28" s="30">
        <f>N28</f>
        <v>1047110.5853797756</v>
      </c>
      <c r="AC28" s="30">
        <f>O28</f>
        <v>1421436.2254533428</v>
      </c>
      <c r="AD28" s="28">
        <f>AC28-AA28</f>
        <v>187162.82003678358</v>
      </c>
      <c r="AE28" s="28">
        <f>AA28-AB28</f>
        <v>187162.82003678358</v>
      </c>
    </row>
    <row r="29" spans="2:40" ht="15" thickBot="1">
      <c r="B29" s="15" t="s">
        <v>122</v>
      </c>
      <c r="C29" s="26">
        <v>20170561.32800002</v>
      </c>
      <c r="AJ29" s="45" t="s">
        <v>231</v>
      </c>
    </row>
    <row r="30" spans="2:40" ht="50" customHeight="1" thickBot="1">
      <c r="AJ30" s="77" t="s">
        <v>232</v>
      </c>
      <c r="AK30" s="78"/>
      <c r="AL30" s="78"/>
      <c r="AM30" s="78"/>
      <c r="AN30" s="79"/>
    </row>
  </sheetData>
  <mergeCells count="2">
    <mergeCell ref="AJ27:AN27"/>
    <mergeCell ref="AJ30:AN30"/>
  </mergeCells>
  <pageMargins left="0.7" right="0.7" top="0.75" bottom="0.75" header="0.3" footer="0.3"/>
  <pageSetup orientation="portrait" r:id="rId2"/>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8C01E-BD45-4583-B2BF-98675ABD4D7D}">
  <dimension ref="B1:H41"/>
  <sheetViews>
    <sheetView topLeftCell="A2" zoomScale="70" zoomScaleNormal="70" workbookViewId="0">
      <selection activeCell="B42" sqref="B42"/>
    </sheetView>
  </sheetViews>
  <sheetFormatPr defaultRowHeight="14.5"/>
  <cols>
    <col min="2" max="2" width="18.08984375" customWidth="1"/>
    <col min="3" max="3" width="37.81640625" customWidth="1"/>
    <col min="4" max="4" width="24.453125" customWidth="1"/>
    <col min="5" max="5" width="13" customWidth="1"/>
    <col min="6" max="6" width="16.26953125" customWidth="1"/>
    <col min="7" max="7" width="15.08984375" customWidth="1"/>
    <col min="8" max="8" width="17.1796875" customWidth="1"/>
  </cols>
  <sheetData>
    <row r="1" spans="2:8" ht="15" thickBot="1"/>
    <row r="2" spans="2:8" ht="15" thickBot="1">
      <c r="B2" s="55" t="s">
        <v>241</v>
      </c>
    </row>
    <row r="3" spans="2:8" ht="15" thickBot="1">
      <c r="B3" s="49" t="s">
        <v>234</v>
      </c>
      <c r="C3" s="52">
        <v>2097</v>
      </c>
      <c r="E3" s="56" t="s">
        <v>242</v>
      </c>
      <c r="F3" s="57" t="s">
        <v>236</v>
      </c>
      <c r="G3" s="57" t="s">
        <v>237</v>
      </c>
      <c r="H3" s="58" t="s">
        <v>240</v>
      </c>
    </row>
    <row r="4" spans="2:8">
      <c r="B4" s="50" t="s">
        <v>235</v>
      </c>
      <c r="C4" s="53">
        <v>528.11</v>
      </c>
      <c r="E4" s="59" t="s">
        <v>243</v>
      </c>
      <c r="F4" s="60">
        <v>-0.1</v>
      </c>
      <c r="G4" s="61">
        <v>-0.05</v>
      </c>
      <c r="H4" s="63">
        <f>$C$3*(1+F4)*$C$4*(1+G4)</f>
        <v>946866.90284999995</v>
      </c>
    </row>
    <row r="5" spans="2:8">
      <c r="B5" s="50" t="s">
        <v>236</v>
      </c>
      <c r="C5" s="48">
        <v>0</v>
      </c>
      <c r="E5" s="59" t="s">
        <v>244</v>
      </c>
      <c r="F5" s="61">
        <v>0</v>
      </c>
      <c r="G5" s="61">
        <v>0</v>
      </c>
      <c r="H5" s="63">
        <f t="shared" ref="H5:H6" si="0">$C$3*(1+F5)*$C$4*(1+G5)</f>
        <v>1107446.67</v>
      </c>
    </row>
    <row r="6" spans="2:8" ht="15" thickBot="1">
      <c r="B6" s="50" t="s">
        <v>237</v>
      </c>
      <c r="C6" s="48">
        <v>0</v>
      </c>
      <c r="E6" s="39" t="s">
        <v>245</v>
      </c>
      <c r="F6" s="62">
        <v>0.1</v>
      </c>
      <c r="G6" s="62">
        <v>0.05</v>
      </c>
      <c r="H6" s="42">
        <f t="shared" si="0"/>
        <v>1279100.9038500004</v>
      </c>
    </row>
    <row r="7" spans="2:8">
      <c r="B7" s="50" t="s">
        <v>238</v>
      </c>
      <c r="C7" s="47">
        <f>C3*(1+C5)</f>
        <v>2097</v>
      </c>
      <c r="H7" s="17"/>
    </row>
    <row r="8" spans="2:8">
      <c r="B8" s="50" t="s">
        <v>239</v>
      </c>
      <c r="C8" s="53">
        <f>C4*(1+C6)</f>
        <v>528.11</v>
      </c>
    </row>
    <row r="9" spans="2:8" ht="15" thickBot="1">
      <c r="B9" s="51" t="s">
        <v>240</v>
      </c>
      <c r="C9" s="54">
        <f>C7*C8</f>
        <v>1107446.67</v>
      </c>
    </row>
    <row r="12" spans="2:8" ht="15" thickBot="1"/>
    <row r="13" spans="2:8">
      <c r="B13" s="64">
        <f>$C$9</f>
        <v>1107446.67</v>
      </c>
      <c r="C13" s="65">
        <v>-0.1</v>
      </c>
      <c r="D13" s="65">
        <v>-0.05</v>
      </c>
      <c r="E13" s="65">
        <v>0</v>
      </c>
      <c r="F13" s="65">
        <v>0.05</v>
      </c>
      <c r="G13" s="66">
        <v>0.1</v>
      </c>
    </row>
    <row r="14" spans="2:8">
      <c r="B14" s="67">
        <v>-0.1</v>
      </c>
      <c r="C14" s="17">
        <f t="dataTable" ref="C14:G18" dt2D="1" dtr="1" r1="C6" r2="C5" ca="1"/>
        <v>897031.8027</v>
      </c>
      <c r="D14" s="17">
        <v>946866.90284999995</v>
      </c>
      <c r="E14" s="17">
        <v>996702.00300000003</v>
      </c>
      <c r="F14" s="17">
        <v>1046537.1031500001</v>
      </c>
      <c r="G14" s="68">
        <v>1096372.2033000002</v>
      </c>
    </row>
    <row r="15" spans="2:8">
      <c r="B15" s="69">
        <v>-0.05</v>
      </c>
      <c r="C15" s="17">
        <v>946866.90284999995</v>
      </c>
      <c r="D15" s="17">
        <v>999470.61967499997</v>
      </c>
      <c r="E15" s="17">
        <v>1052074.3365</v>
      </c>
      <c r="F15" s="17">
        <v>1104678.053325</v>
      </c>
      <c r="G15" s="68">
        <v>1157281.77015</v>
      </c>
    </row>
    <row r="16" spans="2:8">
      <c r="B16" s="69">
        <v>0</v>
      </c>
      <c r="C16" s="17">
        <v>996702.00300000003</v>
      </c>
      <c r="D16" s="17">
        <v>1052074.3365</v>
      </c>
      <c r="E16" s="17">
        <v>1107446.67</v>
      </c>
      <c r="F16" s="17">
        <v>1162819.0035000001</v>
      </c>
      <c r="G16" s="68">
        <v>1218191.3370000001</v>
      </c>
    </row>
    <row r="17" spans="2:7">
      <c r="B17" s="69">
        <v>0.05</v>
      </c>
      <c r="C17" s="17">
        <v>1046537.10315</v>
      </c>
      <c r="D17" s="17">
        <v>1104678.053325</v>
      </c>
      <c r="E17" s="17">
        <v>1162819.0034999999</v>
      </c>
      <c r="F17" s="17">
        <v>1220959.9536750002</v>
      </c>
      <c r="G17" s="68">
        <v>1279100.9038500001</v>
      </c>
    </row>
    <row r="18" spans="2:7" ht="15" thickBot="1">
      <c r="B18" s="70">
        <v>0.1</v>
      </c>
      <c r="C18" s="71">
        <v>1096372.2033000002</v>
      </c>
      <c r="D18" s="71">
        <v>1157281.7701500002</v>
      </c>
      <c r="E18" s="71">
        <v>1218191.3370000003</v>
      </c>
      <c r="F18" s="71">
        <v>1279100.9038500004</v>
      </c>
      <c r="G18" s="72">
        <v>1340010.4707000002</v>
      </c>
    </row>
    <row r="20" spans="2:7">
      <c r="B20" s="75" t="s">
        <v>236</v>
      </c>
      <c r="C20" s="76">
        <f>$C$9</f>
        <v>1107446.67</v>
      </c>
    </row>
    <row r="21" spans="2:7">
      <c r="B21" s="73">
        <v>-0.2</v>
      </c>
      <c r="C21" s="74">
        <f t="dataTable" ref="C21:C29" dt2D="0" dtr="0" r1="C5"/>
        <v>885957.33600000013</v>
      </c>
    </row>
    <row r="22" spans="2:7">
      <c r="B22" s="73">
        <v>-0.15</v>
      </c>
      <c r="C22" s="74">
        <v>941329.66950000008</v>
      </c>
    </row>
    <row r="23" spans="2:7">
      <c r="B23" s="73">
        <v>-0.1</v>
      </c>
      <c r="C23" s="74">
        <v>996702.00300000003</v>
      </c>
    </row>
    <row r="24" spans="2:7">
      <c r="B24" s="73">
        <v>-0.05</v>
      </c>
      <c r="C24" s="74">
        <v>1052074.3365</v>
      </c>
    </row>
    <row r="25" spans="2:7">
      <c r="B25" s="73">
        <v>0</v>
      </c>
      <c r="C25" s="74">
        <v>1107446.67</v>
      </c>
    </row>
    <row r="26" spans="2:7">
      <c r="B26" s="73">
        <v>0.05</v>
      </c>
      <c r="C26" s="74">
        <v>1162819.0034999999</v>
      </c>
    </row>
    <row r="27" spans="2:7">
      <c r="B27" s="73">
        <v>0.1</v>
      </c>
      <c r="C27" s="74">
        <v>1218191.3370000003</v>
      </c>
    </row>
    <row r="28" spans="2:7">
      <c r="B28" s="73">
        <v>0.15</v>
      </c>
      <c r="C28" s="74">
        <v>1273563.6704999998</v>
      </c>
    </row>
    <row r="29" spans="2:7">
      <c r="B29" s="73">
        <v>0.2</v>
      </c>
      <c r="C29" s="74">
        <v>1328936.0040000002</v>
      </c>
    </row>
    <row r="31" spans="2:7" ht="15" thickBot="1"/>
    <row r="32" spans="2:7" ht="15.5" customHeight="1" thickBot="1">
      <c r="B32" s="80" t="s">
        <v>246</v>
      </c>
      <c r="C32" s="81"/>
    </row>
    <row r="33" spans="2:8" ht="168.5" customHeight="1" thickBot="1">
      <c r="B33" s="77" t="s">
        <v>247</v>
      </c>
      <c r="C33" s="78"/>
      <c r="D33" s="78"/>
      <c r="E33" s="78"/>
      <c r="F33" s="78"/>
      <c r="G33" s="78"/>
      <c r="H33" s="79"/>
    </row>
    <row r="35" spans="2:8" ht="15" thickBot="1"/>
    <row r="36" spans="2:8" ht="15" thickBot="1">
      <c r="B36" s="82" t="s">
        <v>248</v>
      </c>
      <c r="C36" s="83"/>
    </row>
    <row r="37" spans="2:8" ht="55" customHeight="1" thickBot="1">
      <c r="B37" s="77" t="s">
        <v>249</v>
      </c>
      <c r="C37" s="78"/>
      <c r="D37" s="78"/>
      <c r="E37" s="78"/>
      <c r="F37" s="78"/>
      <c r="G37" s="78"/>
      <c r="H37" s="79"/>
    </row>
    <row r="41" spans="2:8">
      <c r="C41" s="43"/>
    </row>
  </sheetData>
  <mergeCells count="4">
    <mergeCell ref="B32:C32"/>
    <mergeCell ref="B33:H33"/>
    <mergeCell ref="B36:C36"/>
    <mergeCell ref="B37:H37"/>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B4020-2840-41A0-9827-C5ACB2AFABB1}">
  <dimension ref="B3:H17"/>
  <sheetViews>
    <sheetView tabSelected="1" zoomScale="63" zoomScaleNormal="63" workbookViewId="0">
      <selection activeCell="D28" sqref="D28"/>
    </sheetView>
  </sheetViews>
  <sheetFormatPr defaultRowHeight="14.5"/>
  <cols>
    <col min="2" max="2" width="23.453125" customWidth="1"/>
    <col min="3" max="3" width="22.36328125" customWidth="1"/>
    <col min="4" max="4" width="20.54296875" customWidth="1"/>
    <col min="5" max="5" width="15.453125" customWidth="1"/>
    <col min="6" max="6" width="16" customWidth="1"/>
    <col min="7" max="7" width="18.54296875" customWidth="1"/>
    <col min="8" max="8" width="18.1796875" customWidth="1"/>
  </cols>
  <sheetData>
    <row r="3" spans="2:8">
      <c r="B3" s="18" t="s">
        <v>250</v>
      </c>
      <c r="C3" s="19" t="s">
        <v>251</v>
      </c>
      <c r="D3" s="18" t="s">
        <v>252</v>
      </c>
      <c r="E3" s="19" t="s">
        <v>253</v>
      </c>
      <c r="F3" s="19" t="s">
        <v>254</v>
      </c>
      <c r="G3" s="19" t="s">
        <v>255</v>
      </c>
      <c r="H3" s="19" t="s">
        <v>240</v>
      </c>
    </row>
    <row r="4" spans="2:8">
      <c r="B4" s="30" t="s">
        <v>256</v>
      </c>
      <c r="C4" s="30">
        <v>40</v>
      </c>
      <c r="D4" s="30">
        <v>260</v>
      </c>
      <c r="E4" s="30">
        <v>1200</v>
      </c>
      <c r="F4" s="30">
        <v>1200</v>
      </c>
      <c r="G4" s="30">
        <f>C4*F4</f>
        <v>48000</v>
      </c>
      <c r="H4" s="30">
        <f>D4*F4</f>
        <v>312000</v>
      </c>
    </row>
    <row r="5" spans="2:8">
      <c r="B5" s="30" t="s">
        <v>257</v>
      </c>
      <c r="C5" s="30">
        <v>85</v>
      </c>
      <c r="D5" s="30">
        <v>310</v>
      </c>
      <c r="E5" s="30">
        <v>900</v>
      </c>
      <c r="F5" s="30">
        <v>100</v>
      </c>
      <c r="G5" s="30">
        <f t="shared" ref="G5:G6" si="0">C5*F5</f>
        <v>8500</v>
      </c>
      <c r="H5" s="30">
        <f t="shared" ref="H5:H6" si="1">D5*F5</f>
        <v>31000</v>
      </c>
    </row>
    <row r="6" spans="2:8">
      <c r="B6" s="30" t="s">
        <v>258</v>
      </c>
      <c r="C6" s="30">
        <v>60</v>
      </c>
      <c r="D6" s="30">
        <v>285</v>
      </c>
      <c r="E6" s="30">
        <v>1000</v>
      </c>
      <c r="F6" s="30">
        <v>725</v>
      </c>
      <c r="G6" s="30">
        <f t="shared" si="0"/>
        <v>43500</v>
      </c>
      <c r="H6" s="30">
        <f t="shared" si="1"/>
        <v>206625</v>
      </c>
    </row>
    <row r="7" spans="2:8" ht="15" thickBot="1"/>
    <row r="8" spans="2:8" ht="15" thickBot="1">
      <c r="B8" s="85" t="s">
        <v>259</v>
      </c>
      <c r="C8" s="86" t="s">
        <v>260</v>
      </c>
      <c r="D8" s="87" t="s">
        <v>261</v>
      </c>
    </row>
    <row r="9" spans="2:8">
      <c r="B9" s="30">
        <f>SUM(G4:G6)</f>
        <v>100000</v>
      </c>
      <c r="C9" s="30">
        <f>SUM(H4:H6)</f>
        <v>549625</v>
      </c>
      <c r="D9" s="30">
        <v>100000</v>
      </c>
    </row>
    <row r="11" spans="2:8" ht="15" thickBot="1"/>
    <row r="12" spans="2:8" ht="15" thickBot="1">
      <c r="B12" s="88" t="s">
        <v>262</v>
      </c>
      <c r="C12" s="89" t="s">
        <v>265</v>
      </c>
    </row>
    <row r="13" spans="2:8">
      <c r="B13" s="30" t="s">
        <v>263</v>
      </c>
      <c r="C13" s="30">
        <v>558860</v>
      </c>
    </row>
    <row r="14" spans="2:8">
      <c r="B14" s="30" t="s">
        <v>264</v>
      </c>
      <c r="C14" s="30">
        <v>100000</v>
      </c>
    </row>
    <row r="16" spans="2:8" ht="16.5" customHeight="1">
      <c r="B16" s="84" t="s">
        <v>266</v>
      </c>
    </row>
    <row r="17" spans="2:8" ht="93" customHeight="1">
      <c r="B17" s="90" t="s">
        <v>267</v>
      </c>
      <c r="C17" s="90"/>
      <c r="D17" s="90"/>
      <c r="E17" s="90"/>
      <c r="F17" s="90"/>
      <c r="G17" s="90"/>
      <c r="H17" s="90"/>
    </row>
  </sheetData>
  <mergeCells count="1">
    <mergeCell ref="B17:H17"/>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96CF6-EE2B-4D35-B0BA-C5348191347A}">
  <dimension ref="B3:F48"/>
  <sheetViews>
    <sheetView workbookViewId="0">
      <selection activeCell="B3" sqref="B3"/>
    </sheetView>
  </sheetViews>
  <sheetFormatPr defaultRowHeight="14.5"/>
  <cols>
    <col min="2" max="2" width="19.1796875" bestFit="1" customWidth="1"/>
    <col min="3" max="3" width="15.26953125" bestFit="1" customWidth="1"/>
    <col min="4" max="6" width="11.81640625" bestFit="1" customWidth="1"/>
  </cols>
  <sheetData>
    <row r="3" spans="2:6">
      <c r="B3" s="23" t="s">
        <v>123</v>
      </c>
      <c r="C3" s="23" t="s">
        <v>124</v>
      </c>
    </row>
    <row r="4" spans="2:6">
      <c r="B4" s="23" t="s">
        <v>81</v>
      </c>
      <c r="C4">
        <v>2009</v>
      </c>
      <c r="D4">
        <v>2010</v>
      </c>
      <c r="E4">
        <v>2011</v>
      </c>
      <c r="F4" t="s">
        <v>122</v>
      </c>
    </row>
    <row r="5" spans="2:6">
      <c r="B5" s="15" t="s">
        <v>82</v>
      </c>
      <c r="C5">
        <v>50.249999999999993</v>
      </c>
      <c r="D5">
        <v>31006.65000000002</v>
      </c>
      <c r="E5">
        <v>136072.1700000008</v>
      </c>
      <c r="F5">
        <v>167129.06999999992</v>
      </c>
    </row>
    <row r="6" spans="2:6">
      <c r="B6" s="15" t="s">
        <v>83</v>
      </c>
      <c r="C6">
        <v>1998.34</v>
      </c>
      <c r="D6">
        <v>11281.980000000027</v>
      </c>
      <c r="E6">
        <v>9897.2800000000298</v>
      </c>
      <c r="F6">
        <v>23177.600000000013</v>
      </c>
    </row>
    <row r="7" spans="2:6">
      <c r="B7" s="15" t="s">
        <v>84</v>
      </c>
      <c r="D7">
        <v>2518.8900000000008</v>
      </c>
      <c r="E7">
        <v>342.65999999999997</v>
      </c>
      <c r="F7">
        <v>2861.5500000000015</v>
      </c>
    </row>
    <row r="8" spans="2:6">
      <c r="B8" s="15" t="s">
        <v>85</v>
      </c>
      <c r="C8">
        <v>447.6</v>
      </c>
      <c r="D8">
        <v>24025.840000000073</v>
      </c>
      <c r="E8">
        <v>39101.049999999886</v>
      </c>
      <c r="F8">
        <v>63574.490000000005</v>
      </c>
    </row>
    <row r="9" spans="2:6">
      <c r="B9" s="15" t="s">
        <v>86</v>
      </c>
      <c r="D9">
        <v>1253.1400000000001</v>
      </c>
      <c r="F9">
        <v>1253.1400000000001</v>
      </c>
    </row>
    <row r="10" spans="2:6">
      <c r="B10" s="15" t="s">
        <v>87</v>
      </c>
      <c r="D10">
        <v>268.27</v>
      </c>
      <c r="E10">
        <v>1143.5999999999999</v>
      </c>
      <c r="F10">
        <v>1411.8700000000001</v>
      </c>
    </row>
    <row r="11" spans="2:6">
      <c r="B11" s="15" t="s">
        <v>56</v>
      </c>
      <c r="D11">
        <v>1216.6600000000008</v>
      </c>
      <c r="E11">
        <v>3666.3799999999978</v>
      </c>
      <c r="F11">
        <v>4883.0399999999972</v>
      </c>
    </row>
    <row r="12" spans="2:6">
      <c r="B12" s="15" t="s">
        <v>88</v>
      </c>
      <c r="C12">
        <v>945.38000000000022</v>
      </c>
      <c r="D12">
        <v>20785.470000000008</v>
      </c>
      <c r="E12">
        <v>19722.759999999987</v>
      </c>
      <c r="F12">
        <v>41453.609999999979</v>
      </c>
    </row>
    <row r="13" spans="2:6">
      <c r="B13" s="15" t="s">
        <v>89</v>
      </c>
      <c r="C13">
        <v>3425.0799999999995</v>
      </c>
      <c r="D13">
        <v>9382.1900000000187</v>
      </c>
      <c r="E13">
        <v>11355.470000000008</v>
      </c>
      <c r="F13">
        <v>24162.739999999994</v>
      </c>
    </row>
    <row r="14" spans="2:6">
      <c r="B14" s="15" t="s">
        <v>90</v>
      </c>
      <c r="E14">
        <v>707.72</v>
      </c>
      <c r="F14">
        <v>707.72</v>
      </c>
    </row>
    <row r="15" spans="2:6">
      <c r="B15" s="15" t="s">
        <v>91</v>
      </c>
      <c r="C15">
        <v>1384.46</v>
      </c>
      <c r="D15">
        <v>46869.989999999969</v>
      </c>
      <c r="E15">
        <v>17486.640000000025</v>
      </c>
      <c r="F15">
        <v>65741.089999999967</v>
      </c>
    </row>
    <row r="16" spans="2:6">
      <c r="B16" s="15" t="s">
        <v>92</v>
      </c>
      <c r="E16">
        <v>1291.7500000000005</v>
      </c>
      <c r="F16">
        <v>1291.7499999999998</v>
      </c>
    </row>
    <row r="17" spans="2:6">
      <c r="B17" s="15" t="s">
        <v>93</v>
      </c>
      <c r="C17">
        <v>549.08000000000004</v>
      </c>
      <c r="D17">
        <v>7531.4299999999985</v>
      </c>
      <c r="E17">
        <v>21433.940000000031</v>
      </c>
      <c r="F17">
        <v>29514.450000000004</v>
      </c>
    </row>
    <row r="18" spans="2:6">
      <c r="B18" s="15" t="s">
        <v>36</v>
      </c>
      <c r="C18">
        <v>5555.0399999999954</v>
      </c>
      <c r="D18">
        <v>134790.21999999936</v>
      </c>
      <c r="E18">
        <v>187846.54000000193</v>
      </c>
      <c r="F18">
        <v>328191.79999999993</v>
      </c>
    </row>
    <row r="19" spans="2:6">
      <c r="B19" s="15" t="s">
        <v>37</v>
      </c>
      <c r="C19">
        <v>9782.6200000000154</v>
      </c>
      <c r="D19">
        <v>201070.57100000107</v>
      </c>
      <c r="E19">
        <v>207135.37000000113</v>
      </c>
      <c r="F19">
        <v>417988.56100000098</v>
      </c>
    </row>
    <row r="20" spans="2:6">
      <c r="B20" s="15" t="s">
        <v>94</v>
      </c>
      <c r="C20">
        <v>610.95000000000005</v>
      </c>
      <c r="D20">
        <v>13674.020000000006</v>
      </c>
      <c r="E20">
        <v>4710.5199999999977</v>
      </c>
      <c r="F20">
        <v>18995.490000000005</v>
      </c>
    </row>
    <row r="21" spans="2:6">
      <c r="B21" s="15" t="s">
        <v>95</v>
      </c>
      <c r="D21">
        <v>3922.2599999999989</v>
      </c>
      <c r="E21">
        <v>10117.040000000032</v>
      </c>
      <c r="F21">
        <v>14039.300000000001</v>
      </c>
    </row>
    <row r="22" spans="2:6">
      <c r="B22" s="15" t="s">
        <v>96</v>
      </c>
      <c r="D22">
        <v>2035.1100000000001</v>
      </c>
      <c r="E22">
        <v>3598.2099999999969</v>
      </c>
      <c r="F22">
        <v>5633.3200000000006</v>
      </c>
    </row>
    <row r="23" spans="2:6">
      <c r="B23" s="15" t="s">
        <v>97</v>
      </c>
      <c r="C23">
        <v>19127.939999999981</v>
      </c>
      <c r="D23">
        <v>342144.7400000018</v>
      </c>
      <c r="E23">
        <v>254246.8699999993</v>
      </c>
      <c r="F23">
        <v>615519.5499999997</v>
      </c>
    </row>
    <row r="24" spans="2:6">
      <c r="B24" s="15" t="s">
        <v>98</v>
      </c>
      <c r="D24">
        <v>2971.9599999999996</v>
      </c>
      <c r="E24">
        <v>8135.2599999999966</v>
      </c>
      <c r="F24">
        <v>11107.21999999999</v>
      </c>
    </row>
    <row r="25" spans="2:6">
      <c r="B25" s="15" t="s">
        <v>99</v>
      </c>
      <c r="C25">
        <v>398.2</v>
      </c>
      <c r="D25">
        <v>14185.140000000027</v>
      </c>
      <c r="E25">
        <v>16096.010000000015</v>
      </c>
      <c r="F25">
        <v>30679.350000000071</v>
      </c>
    </row>
    <row r="26" spans="2:6">
      <c r="B26" s="15" t="s">
        <v>100</v>
      </c>
      <c r="C26">
        <v>-208.75</v>
      </c>
      <c r="D26">
        <v>16349.779999999992</v>
      </c>
      <c r="E26">
        <v>27635.549999999985</v>
      </c>
      <c r="F26">
        <v>43776.579999999944</v>
      </c>
    </row>
    <row r="27" spans="2:6">
      <c r="B27" s="15" t="s">
        <v>101</v>
      </c>
      <c r="D27">
        <v>949.82000000000062</v>
      </c>
      <c r="F27">
        <v>949.82000000000028</v>
      </c>
    </row>
    <row r="28" spans="2:6">
      <c r="B28" s="15" t="s">
        <v>102</v>
      </c>
      <c r="D28">
        <v>172.02999999999997</v>
      </c>
      <c r="E28">
        <v>1693.8799999999999</v>
      </c>
      <c r="F28">
        <v>1865.91</v>
      </c>
    </row>
    <row r="29" spans="2:6">
      <c r="B29" s="15" t="s">
        <v>103</v>
      </c>
      <c r="D29">
        <v>6553.7400000000034</v>
      </c>
      <c r="F29">
        <v>6553.7400000000016</v>
      </c>
    </row>
    <row r="30" spans="2:6">
      <c r="B30" s="15" t="s">
        <v>104</v>
      </c>
      <c r="D30">
        <v>2686.7499999999986</v>
      </c>
      <c r="E30">
        <v>2505.4699999999989</v>
      </c>
      <c r="F30">
        <v>5192.2199999999993</v>
      </c>
    </row>
    <row r="31" spans="2:6">
      <c r="B31" s="15" t="s">
        <v>105</v>
      </c>
      <c r="C31">
        <v>15204.730000000003</v>
      </c>
      <c r="D31">
        <v>257443.15999999983</v>
      </c>
      <c r="E31">
        <v>275877.06000000011</v>
      </c>
      <c r="F31">
        <v>548524.94999999925</v>
      </c>
    </row>
    <row r="32" spans="2:6">
      <c r="B32" s="15" t="s">
        <v>106</v>
      </c>
      <c r="C32">
        <v>-147.05000000000001</v>
      </c>
      <c r="D32">
        <v>140.39000000000001</v>
      </c>
      <c r="F32">
        <v>-6.6599999999999842</v>
      </c>
    </row>
    <row r="33" spans="2:6">
      <c r="B33" s="15" t="s">
        <v>107</v>
      </c>
      <c r="C33">
        <v>485.31</v>
      </c>
      <c r="D33">
        <v>7381.3799999999992</v>
      </c>
      <c r="E33">
        <v>31376.339999999993</v>
      </c>
      <c r="F33">
        <v>39243.030000000006</v>
      </c>
    </row>
    <row r="34" spans="2:6">
      <c r="B34" s="15" t="s">
        <v>108</v>
      </c>
      <c r="C34">
        <v>371.81999999999994</v>
      </c>
      <c r="D34">
        <v>3191.2899999999991</v>
      </c>
      <c r="E34">
        <v>6964.9799999999959</v>
      </c>
      <c r="F34">
        <v>10528.089999999998</v>
      </c>
    </row>
    <row r="35" spans="2:6">
      <c r="B35" s="15" t="s">
        <v>109</v>
      </c>
      <c r="C35">
        <v>2821.5799999999981</v>
      </c>
      <c r="D35">
        <v>23328.320000000142</v>
      </c>
      <c r="E35">
        <v>26986.899999999958</v>
      </c>
      <c r="F35">
        <v>53136.800000000039</v>
      </c>
    </row>
    <row r="36" spans="2:6">
      <c r="B36" s="15" t="s">
        <v>110</v>
      </c>
      <c r="D36">
        <v>2366.7199999999984</v>
      </c>
      <c r="E36">
        <v>1002.31</v>
      </c>
      <c r="F36">
        <v>3369.0299999999993</v>
      </c>
    </row>
    <row r="37" spans="2:6">
      <c r="B37" s="15" t="s">
        <v>111</v>
      </c>
      <c r="E37">
        <v>131.17000000000002</v>
      </c>
      <c r="F37">
        <v>131.17000000000002</v>
      </c>
    </row>
    <row r="38" spans="2:6">
      <c r="B38" s="15" t="s">
        <v>112</v>
      </c>
      <c r="D38">
        <v>4037.7699999999982</v>
      </c>
      <c r="E38">
        <v>9120.3900000000176</v>
      </c>
      <c r="F38">
        <v>13158.159999999994</v>
      </c>
    </row>
    <row r="39" spans="2:6">
      <c r="B39" s="15" t="s">
        <v>113</v>
      </c>
      <c r="C39">
        <v>7918.8300000000008</v>
      </c>
      <c r="D39">
        <v>31009.800000000097</v>
      </c>
      <c r="E39">
        <v>52930.850000000137</v>
      </c>
      <c r="F39">
        <v>91859.47999999988</v>
      </c>
    </row>
    <row r="40" spans="2:6">
      <c r="B40" s="15" t="s">
        <v>114</v>
      </c>
      <c r="C40">
        <v>259.79999999999995</v>
      </c>
      <c r="D40">
        <v>53600.009999999886</v>
      </c>
      <c r="E40">
        <v>33949.609999999964</v>
      </c>
      <c r="F40">
        <v>87809.420000000042</v>
      </c>
    </row>
    <row r="41" spans="2:6">
      <c r="B41" s="15" t="s">
        <v>115</v>
      </c>
      <c r="C41">
        <v>589.40000000000009</v>
      </c>
      <c r="D41">
        <v>44058.930000000066</v>
      </c>
      <c r="E41">
        <v>55080.430000000102</v>
      </c>
      <c r="F41">
        <v>99728.759999999806</v>
      </c>
    </row>
    <row r="42" spans="2:6">
      <c r="B42" s="15" t="s">
        <v>116</v>
      </c>
      <c r="D42">
        <v>3070.5399999999981</v>
      </c>
      <c r="F42">
        <v>3070.5400000000004</v>
      </c>
    </row>
    <row r="43" spans="2:6">
      <c r="B43" s="15" t="s">
        <v>117</v>
      </c>
      <c r="C43">
        <v>479.53999999999991</v>
      </c>
      <c r="D43">
        <v>7566.8299999999945</v>
      </c>
      <c r="E43">
        <v>1902.2800000000007</v>
      </c>
      <c r="F43">
        <v>9948.65</v>
      </c>
    </row>
    <row r="44" spans="2:6">
      <c r="B44" s="15" t="s">
        <v>118</v>
      </c>
      <c r="C44">
        <v>727655.95999999449</v>
      </c>
      <c r="D44">
        <v>8143864.1929996535</v>
      </c>
      <c r="E44">
        <v>7511063.7439997653</v>
      </c>
      <c r="F44">
        <v>16382583.897000013</v>
      </c>
    </row>
    <row r="45" spans="2:6">
      <c r="B45" s="15" t="s">
        <v>119</v>
      </c>
      <c r="D45">
        <v>4937.5300000000016</v>
      </c>
      <c r="E45">
        <v>4749.7899999999963</v>
      </c>
      <c r="F45">
        <v>9687.3199999999979</v>
      </c>
    </row>
    <row r="46" spans="2:6">
      <c r="B46" s="15" t="s">
        <v>120</v>
      </c>
      <c r="C46">
        <v>141</v>
      </c>
      <c r="D46">
        <v>4414.6200000000017</v>
      </c>
      <c r="E46">
        <v>1730.9199999999996</v>
      </c>
      <c r="F46">
        <v>6286.5400000000018</v>
      </c>
    </row>
    <row r="47" spans="2:6">
      <c r="B47" s="15" t="s">
        <v>121</v>
      </c>
      <c r="D47">
        <v>536.41000000000008</v>
      </c>
      <c r="F47">
        <v>536.41000000000008</v>
      </c>
    </row>
    <row r="48" spans="2:6">
      <c r="B48" s="15" t="s">
        <v>122</v>
      </c>
      <c r="C48">
        <v>799847.1099999944</v>
      </c>
      <c r="D48">
        <v>9488594.5439994652</v>
      </c>
      <c r="E48">
        <v>8998808.9139999859</v>
      </c>
      <c r="F48">
        <v>19287250.568000026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Props1.xml><?xml version="1.0" encoding="utf-8"?>
<ds:datastoreItem xmlns:ds="http://schemas.openxmlformats.org/officeDocument/2006/customXml" ds:itemID="{89BEBC62-F643-41D2-ADFB-C3A0E0D1E828}">
  <ds:schemaRefs/>
</ds:datastoreItem>
</file>

<file path=customXml/itemProps2.xml><?xml version="1.0" encoding="utf-8"?>
<ds:datastoreItem xmlns:ds="http://schemas.openxmlformats.org/officeDocument/2006/customXml" ds:itemID="{3EC84076-41BD-4F32-901F-CA96AC98D2CA}">
  <ds:schemaRefs/>
</ds:datastoreItem>
</file>

<file path=customXml/itemProps3.xml><?xml version="1.0" encoding="utf-8"?>
<ds:datastoreItem xmlns:ds="http://schemas.openxmlformats.org/officeDocument/2006/customXml" ds:itemID="{5AC24397-9357-4D1E-B38E-DB1BD5EC6E2F}">
  <ds:schemaRefs/>
</ds:datastoreItem>
</file>

<file path=customXml/itemProps4.xml><?xml version="1.0" encoding="utf-8"?>
<ds:datastoreItem xmlns:ds="http://schemas.openxmlformats.org/officeDocument/2006/customXml" ds:itemID="{66BE5B03-2AF4-4973-A88C-02A4BC459245}">
  <ds:schemaRefs/>
</ds:datastoreItem>
</file>

<file path=customXml/itemProps5.xml><?xml version="1.0" encoding="utf-8"?>
<ds:datastoreItem xmlns:ds="http://schemas.openxmlformats.org/officeDocument/2006/customXml" ds:itemID="{5E5FE6E2-DDBC-4482-96E2-0693EB516BE0}">
  <ds:schemaRefs/>
</ds:datastoreItem>
</file>

<file path=customXml/itemProps6.xml><?xml version="1.0" encoding="utf-8"?>
<ds:datastoreItem xmlns:ds="http://schemas.openxmlformats.org/officeDocument/2006/customXml" ds:itemID="{F848CF7B-D02C-4E9D-9F29-6B1A1B680B1D}">
  <ds:schemaRefs/>
</ds:datastoreItem>
</file>

<file path=customXml/itemProps7.xml><?xml version="1.0" encoding="utf-8"?>
<ds:datastoreItem xmlns:ds="http://schemas.openxmlformats.org/officeDocument/2006/customXml" ds:itemID="{45D59B63-3A9F-4510-9F50-9B22807C2CBE}">
  <ds:schemaRefs/>
</ds:datastoreItem>
</file>

<file path=customXml/itemProps8.xml><?xml version="1.0" encoding="utf-8"?>
<ds:datastoreItem xmlns:ds="http://schemas.openxmlformats.org/officeDocument/2006/customXml" ds:itemID="{1F3CE986-C8EF-4E38-8A66-44FB5CD95217}">
  <ds:schemaRefs/>
</ds:datastoreItem>
</file>

<file path=customXml/itemProps9.xml><?xml version="1.0" encoding="utf-8"?>
<ds:datastoreItem xmlns:ds="http://schemas.openxmlformats.org/officeDocument/2006/customXml" ds:itemID="{E5B2B771-600D-480B-84BC-F61F0FD41BA1}">
  <ds:schemaRefs/>
</ds:datastoreItem>
</file>

<file path=customXml/itemProps10.xml><?xml version="1.0" encoding="utf-8"?>
<ds:datastoreItem xmlns:ds="http://schemas.openxmlformats.org/officeDocument/2006/customXml" ds:itemID="{CA5CA094-F2AD-4BF7-B703-CEB019A82E7B}">
  <ds:schemaRefs>
    <ds:schemaRef ds:uri="http://schemas.microsoft.com/DataMashup"/>
  </ds:schemaRefs>
</ds:datastoreItem>
</file>

<file path=customXml/itemProps11.xml><?xml version="1.0" encoding="utf-8"?>
<ds:datastoreItem xmlns:ds="http://schemas.openxmlformats.org/officeDocument/2006/customXml" ds:itemID="{DE01BD18-F514-44DB-8CA7-3D66E9DDDC07}">
  <ds:schemaRefs/>
</ds:datastoreItem>
</file>

<file path=customXml/itemProps12.xml><?xml version="1.0" encoding="utf-8"?>
<ds:datastoreItem xmlns:ds="http://schemas.openxmlformats.org/officeDocument/2006/customXml" ds:itemID="{DB019760-1758-4A42-B514-E327A0F06603}">
  <ds:schemaRefs/>
</ds:datastoreItem>
</file>

<file path=customXml/itemProps13.xml><?xml version="1.0" encoding="utf-8"?>
<ds:datastoreItem xmlns:ds="http://schemas.openxmlformats.org/officeDocument/2006/customXml" ds:itemID="{E136F49C-9111-48C7-8C2E-3E09E19FB154}">
  <ds:schemaRefs/>
</ds:datastoreItem>
</file>

<file path=customXml/itemProps14.xml><?xml version="1.0" encoding="utf-8"?>
<ds:datastoreItem xmlns:ds="http://schemas.openxmlformats.org/officeDocument/2006/customXml" ds:itemID="{314B1ABF-152D-4818-B1A2-8B23DD25D4EA}">
  <ds:schemaRefs/>
</ds:datastoreItem>
</file>

<file path=customXml/itemProps15.xml><?xml version="1.0" encoding="utf-8"?>
<ds:datastoreItem xmlns:ds="http://schemas.openxmlformats.org/officeDocument/2006/customXml" ds:itemID="{4DA0EE1A-C2D7-4856-BEBD-C8FAB32297C0}">
  <ds:schemaRefs/>
</ds:datastoreItem>
</file>

<file path=customXml/itemProps16.xml><?xml version="1.0" encoding="utf-8"?>
<ds:datastoreItem xmlns:ds="http://schemas.openxmlformats.org/officeDocument/2006/customXml" ds:itemID="{45E9B093-0342-41CB-83A9-3B841B5A2A53}">
  <ds:schemaRefs/>
</ds:datastoreItem>
</file>

<file path=customXml/itemProps17.xml><?xml version="1.0" encoding="utf-8"?>
<ds:datastoreItem xmlns:ds="http://schemas.openxmlformats.org/officeDocument/2006/customXml" ds:itemID="{A389B3F7-9CC5-4400-B1D1-3ACE93B6BE1A}">
  <ds:schemaRefs/>
</ds:datastoreItem>
</file>

<file path=customXml/itemProps18.xml><?xml version="1.0" encoding="utf-8"?>
<ds:datastoreItem xmlns:ds="http://schemas.openxmlformats.org/officeDocument/2006/customXml" ds:itemID="{C512B152-C7AE-4D57-901A-10D12E6CEB31}">
  <ds:schemaRefs/>
</ds:datastoreItem>
</file>

<file path=customXml/itemProps19.xml><?xml version="1.0" encoding="utf-8"?>
<ds:datastoreItem xmlns:ds="http://schemas.openxmlformats.org/officeDocument/2006/customXml" ds:itemID="{FA6C06BE-37F7-4B92-94B8-FA3B903DC0E4}">
  <ds:schemaRefs/>
</ds:datastoreItem>
</file>

<file path=customXml/itemProps20.xml><?xml version="1.0" encoding="utf-8"?>
<ds:datastoreItem xmlns:ds="http://schemas.openxmlformats.org/officeDocument/2006/customXml" ds:itemID="{420A836B-B3B7-496A-98D2-0C674F419642}">
  <ds:schemaRefs/>
</ds:datastoreItem>
</file>

<file path=customXml/itemProps21.xml><?xml version="1.0" encoding="utf-8"?>
<ds:datastoreItem xmlns:ds="http://schemas.openxmlformats.org/officeDocument/2006/customXml" ds:itemID="{BD0024EF-C74B-4089-BDAE-5F914C9D1EA4}">
  <ds:schemaRefs/>
</ds:datastoreItem>
</file>

<file path=customXml/itemProps22.xml><?xml version="1.0" encoding="utf-8"?>
<ds:datastoreItem xmlns:ds="http://schemas.openxmlformats.org/officeDocument/2006/customXml" ds:itemID="{88AD9B3E-030D-4DFE-8F00-E24EDE571CF8}">
  <ds:schemaRefs/>
</ds:datastoreItem>
</file>

<file path=customXml/itemProps23.xml><?xml version="1.0" encoding="utf-8"?>
<ds:datastoreItem xmlns:ds="http://schemas.openxmlformats.org/officeDocument/2006/customXml" ds:itemID="{BD8891F7-2C57-496B-A112-615FD6099E91}">
  <ds:schemaRefs/>
</ds:datastoreItem>
</file>

<file path=customXml/itemProps24.xml><?xml version="1.0" encoding="utf-8"?>
<ds:datastoreItem xmlns:ds="http://schemas.openxmlformats.org/officeDocument/2006/customXml" ds:itemID="{2BB01C32-4F33-468F-9148-F060B40922E8}">
  <ds:schemaRefs/>
</ds:datastoreItem>
</file>

<file path=customXml/itemProps25.xml><?xml version="1.0" encoding="utf-8"?>
<ds:datastoreItem xmlns:ds="http://schemas.openxmlformats.org/officeDocument/2006/customXml" ds:itemID="{F8EBF6A4-710B-4CC6-84A7-7F3C4A13D49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2</vt:i4>
      </vt:variant>
    </vt:vector>
  </HeadingPairs>
  <TitlesOfParts>
    <vt:vector size="16" baseType="lpstr">
      <vt:lpstr>00_README</vt:lpstr>
      <vt:lpstr>02_FORMULA_LAB</vt:lpstr>
      <vt:lpstr>03_ADVANCED_FORMULAS</vt:lpstr>
      <vt:lpstr>04_COUNTRY_ANALYSIS</vt:lpstr>
      <vt:lpstr>05_KPI_SUMMARY</vt:lpstr>
      <vt:lpstr>06_REVENUE_ANALYSIS</vt:lpstr>
      <vt:lpstr>07_PRODUCT_ANALYSIS</vt:lpstr>
      <vt:lpstr>08_CUSTOMER_ANALYSIS</vt:lpstr>
      <vt:lpstr>09_CUSTOMER_VALUE</vt:lpstr>
      <vt:lpstr>10_TIME_PATTERNS</vt:lpstr>
      <vt:lpstr>11_FORECASTING</vt:lpstr>
      <vt:lpstr>12_WHAT_IF</vt:lpstr>
      <vt:lpstr>13_OPTIMIZATION</vt:lpstr>
      <vt:lpstr>Model_QA</vt:lpstr>
      <vt:lpstr>Discounted_Rate</vt:lpstr>
      <vt:lpstr>Fee_Rate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Samara Pires</dc:creator>
  <cp:lastModifiedBy>Samara Pires</cp:lastModifiedBy>
  <dcterms:created xsi:type="dcterms:W3CDTF">2015-06-05T18:17:20Z</dcterms:created>
  <dcterms:modified xsi:type="dcterms:W3CDTF">2026-09-12T22:54:32Z</dcterms:modified>
</cp:coreProperties>
</file>