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ebfb30976329f/Projects/Papers/03_Bayesian_Mixture_Toxicity/API_RQ_BN_IEAM_revision/data/raw/"/>
    </mc:Choice>
  </mc:AlternateContent>
  <xr:revisionPtr revIDLastSave="2" documentId="8_{E7590231-CD6A-47F7-BF35-B4552E86B7BD}" xr6:coauthVersionLast="45" xr6:coauthVersionMax="47" xr10:uidLastSave="{414AEB10-C7D3-422D-BBA3-AF5B586EABD9}"/>
  <bookViews>
    <workbookView xWindow="-120" yWindow="-120" windowWidth="29040" windowHeight="17640" xr2:uid="{D621DD03-B050-42DE-A4A0-60369347F01F}"/>
  </bookViews>
  <sheets>
    <sheet name="Removal_calculation" sheetId="2" r:id="rId1"/>
    <sheet name="Reference_List" sheetId="1" r:id="rId2"/>
  </sheets>
  <definedNames>
    <definedName name="_xlnm._FilterDatabase" localSheetId="0" hidden="1">Removal_calculation!$A$1:$M$65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L38" i="2"/>
  <c r="K38" i="2"/>
  <c r="L52" i="2"/>
  <c r="K52" i="2"/>
  <c r="L57" i="2"/>
  <c r="K57" i="2"/>
  <c r="L40" i="2"/>
  <c r="N60" i="2" s="1"/>
  <c r="K40" i="2"/>
  <c r="L29" i="2"/>
  <c r="K29" i="2"/>
  <c r="L53" i="2"/>
  <c r="K53" i="2"/>
  <c r="L13" i="2"/>
  <c r="K13" i="2"/>
  <c r="L5" i="2"/>
  <c r="K5" i="2"/>
  <c r="K61" i="2" s="1"/>
  <c r="L56" i="2"/>
  <c r="K56" i="2"/>
  <c r="L12" i="2"/>
  <c r="K12" i="2"/>
  <c r="L58" i="2"/>
  <c r="K58" i="2"/>
  <c r="L14" i="2"/>
  <c r="L35" i="2"/>
  <c r="K35" i="2"/>
  <c r="L22" i="2"/>
  <c r="K22" i="2"/>
  <c r="L3" i="2"/>
  <c r="N61" i="2" s="1"/>
  <c r="L27" i="2"/>
  <c r="K27" i="2"/>
  <c r="L32" i="2"/>
  <c r="I53" i="2"/>
  <c r="I54" i="2"/>
  <c r="I56" i="2"/>
  <c r="I24" i="2"/>
  <c r="H56" i="2"/>
  <c r="H53" i="2"/>
  <c r="I52" i="2"/>
  <c r="H52" i="2"/>
  <c r="M4" i="2"/>
  <c r="M61" i="2" s="1"/>
  <c r="I42" i="2"/>
  <c r="I38" i="2"/>
  <c r="H38" i="2"/>
  <c r="I33" i="2"/>
  <c r="H33" i="2"/>
  <c r="I31" i="2"/>
  <c r="I25" i="2"/>
  <c r="H25" i="2"/>
  <c r="I23" i="2"/>
  <c r="I22" i="2"/>
  <c r="H22" i="2"/>
  <c r="I14" i="2"/>
  <c r="I12" i="2"/>
  <c r="H12" i="2"/>
  <c r="I7" i="2"/>
  <c r="H7" i="2"/>
  <c r="I2" i="2"/>
  <c r="H2" i="2"/>
  <c r="M53" i="2"/>
  <c r="M22" i="2"/>
  <c r="M23" i="2"/>
  <c r="K54" i="2"/>
  <c r="J49" i="2"/>
  <c r="J42" i="2"/>
  <c r="K44" i="2"/>
  <c r="K42" i="2"/>
  <c r="L4" i="2"/>
  <c r="K16" i="2"/>
  <c r="I16" i="2"/>
  <c r="K33" i="2"/>
  <c r="K8" i="2"/>
  <c r="L46" i="2"/>
  <c r="I46" i="2"/>
  <c r="I34" i="2"/>
  <c r="I15" i="2"/>
  <c r="I48" i="2"/>
  <c r="I4" i="2"/>
  <c r="J51" i="2"/>
  <c r="L43" i="2"/>
  <c r="L49" i="2"/>
  <c r="L15" i="2"/>
  <c r="L50" i="2"/>
  <c r="L8" i="2"/>
  <c r="I13" i="2"/>
  <c r="I36" i="2"/>
  <c r="K48" i="2"/>
  <c r="K31" i="2"/>
  <c r="K28" i="2"/>
  <c r="I28" i="2"/>
  <c r="K21" i="2"/>
  <c r="I21" i="2"/>
  <c r="K15" i="2"/>
  <c r="I57" i="2"/>
  <c r="I49" i="2"/>
  <c r="I30" i="2"/>
  <c r="I18" i="2"/>
  <c r="I37" i="2"/>
  <c r="I39" i="2"/>
  <c r="K30" i="2"/>
  <c r="I35" i="2"/>
  <c r="K23" i="2"/>
  <c r="K47" i="2"/>
  <c r="I47" i="2"/>
  <c r="K59" i="2"/>
  <c r="I58" i="2"/>
  <c r="J59" i="2"/>
  <c r="J10" i="2"/>
  <c r="I10" i="2"/>
  <c r="J22" i="2"/>
  <c r="J38" i="2"/>
  <c r="J33" i="2"/>
  <c r="J16" i="2"/>
  <c r="L25" i="2"/>
  <c r="L16" i="2"/>
  <c r="L33" i="2"/>
  <c r="L23" i="2"/>
  <c r="K10" i="2"/>
  <c r="K7" i="2"/>
  <c r="K49" i="2"/>
  <c r="H15" i="2"/>
  <c r="I40" i="2"/>
  <c r="H34" i="2"/>
  <c r="M30" i="2"/>
  <c r="M25" i="2"/>
  <c r="K25" i="2"/>
  <c r="L10" i="2"/>
  <c r="J13" i="2"/>
  <c r="J5" i="2"/>
  <c r="J12" i="2"/>
  <c r="J50" i="2"/>
  <c r="J35" i="2"/>
  <c r="L41" i="2"/>
  <c r="L7" i="2"/>
  <c r="I3" i="2"/>
  <c r="M58" i="2"/>
  <c r="M57" i="2"/>
  <c r="M56" i="2"/>
  <c r="L54" i="2"/>
  <c r="M50" i="2"/>
  <c r="K50" i="2"/>
  <c r="L48" i="2"/>
  <c r="M40" i="2"/>
  <c r="M35" i="2"/>
  <c r="L31" i="2"/>
  <c r="M29" i="2"/>
  <c r="M27" i="2"/>
  <c r="M15" i="2"/>
  <c r="M13" i="2"/>
  <c r="M12" i="2"/>
  <c r="M7" i="2"/>
  <c r="M5" i="2"/>
  <c r="J2" i="2"/>
  <c r="J18" i="2"/>
  <c r="H26" i="2"/>
  <c r="I26" i="2"/>
  <c r="J53" i="2"/>
  <c r="J56" i="2"/>
  <c r="J30" i="2"/>
  <c r="M38" i="2"/>
  <c r="M33" i="2"/>
  <c r="L30" i="2"/>
  <c r="I29" i="2"/>
  <c r="L61" i="2" l="1"/>
  <c r="M65" i="2"/>
  <c r="K64" i="2"/>
  <c r="K65" i="2"/>
  <c r="L65" i="2"/>
  <c r="M64" i="2"/>
  <c r="L64" i="2"/>
  <c r="K62" i="2"/>
  <c r="K63" i="2"/>
  <c r="L63" i="2"/>
  <c r="M63" i="2"/>
  <c r="M62" i="2"/>
  <c r="L62" i="2"/>
  <c r="L60" i="2"/>
  <c r="J34" i="2"/>
  <c r="J64" i="2" s="1"/>
  <c r="J52" i="2"/>
  <c r="K60" i="2"/>
  <c r="I9" i="2"/>
  <c r="I63" i="2" s="1"/>
  <c r="H9" i="2"/>
  <c r="H63" i="2" s="1"/>
  <c r="M60" i="2"/>
  <c r="J61" i="2" l="1"/>
  <c r="H61" i="2"/>
  <c r="I61" i="2"/>
  <c r="J65" i="2"/>
  <c r="J63" i="2"/>
  <c r="H65" i="2"/>
  <c r="I65" i="2"/>
  <c r="I64" i="2"/>
  <c r="H64" i="2"/>
  <c r="J62" i="2"/>
  <c r="I62" i="2"/>
  <c r="H62" i="2"/>
  <c r="H60" i="2"/>
  <c r="J60" i="2"/>
  <c r="I60" i="2"/>
</calcChain>
</file>

<file path=xl/sharedStrings.xml><?xml version="1.0" encoding="utf-8"?>
<sst xmlns="http://schemas.openxmlformats.org/spreadsheetml/2006/main" count="584" uniqueCount="426">
  <si>
    <t>Zhou et al 2019</t>
  </si>
  <si>
    <t>Zidovudine</t>
  </si>
  <si>
    <t>Swiss indicator; Zhou et al 2019</t>
  </si>
  <si>
    <t>Venlafaxine</t>
  </si>
  <si>
    <t>NORMAN</t>
  </si>
  <si>
    <t xml:space="preserve">Zhou et al., 2019 </t>
  </si>
  <si>
    <t>Valsartan</t>
  </si>
  <si>
    <t>Trimethoprim</t>
  </si>
  <si>
    <t>Tramadol</t>
  </si>
  <si>
    <t xml:space="preserve">EU watch list to Directive 2008/105/EC </t>
  </si>
  <si>
    <t>Sulfamethoxazole</t>
  </si>
  <si>
    <t>Sulfadiazine</t>
  </si>
  <si>
    <t>Spiramycin</t>
  </si>
  <si>
    <t>De Voogt et al 2009</t>
  </si>
  <si>
    <t>Sotalol</t>
  </si>
  <si>
    <t>Roxithromycin</t>
  </si>
  <si>
    <t>De Voogt et al 2009; Zhou et al 2019</t>
  </si>
  <si>
    <t>Ranitidine</t>
  </si>
  <si>
    <t>Propyphenazone</t>
  </si>
  <si>
    <t>Pentoxifylline</t>
  </si>
  <si>
    <t>Metabolite</t>
  </si>
  <si>
    <t>Paraxanthine</t>
  </si>
  <si>
    <t>Oxytetracycline</t>
  </si>
  <si>
    <t>Oxypurinol</t>
  </si>
  <si>
    <t>J01MA01; S01AE01; S02AA16</t>
  </si>
  <si>
    <t>De Voogt et al 2009; Zhou et al 2019; NORMAN cat. 2</t>
  </si>
  <si>
    <t>Ofloxacin</t>
  </si>
  <si>
    <t>O-desmethylvenlafaxine</t>
  </si>
  <si>
    <t>Norfloxatin</t>
  </si>
  <si>
    <t>G02CC02; M01AE02; M02AA12</t>
  </si>
  <si>
    <t>Naproxen</t>
  </si>
  <si>
    <t xml:space="preserve">Miconazole </t>
  </si>
  <si>
    <t>Swiss indicator; De Voogt et al 2009</t>
  </si>
  <si>
    <t>Metoprolol</t>
  </si>
  <si>
    <t>Swiss indicator</t>
  </si>
  <si>
    <t>Lincomycin</t>
  </si>
  <si>
    <t>M01AE01; C01EB16; G02CC01; M02AA13; R02AX02</t>
  </si>
  <si>
    <t>Ibuprofen</t>
  </si>
  <si>
    <t>C09CA04</t>
  </si>
  <si>
    <t>C03AA03</t>
  </si>
  <si>
    <t>Hydrochlorothiazide</t>
  </si>
  <si>
    <t>C10AB04</t>
  </si>
  <si>
    <t>Gemfibrozil</t>
  </si>
  <si>
    <t>Gabapentin</t>
  </si>
  <si>
    <t>N06AB03</t>
  </si>
  <si>
    <t>Fluoxetine</t>
  </si>
  <si>
    <t xml:space="preserve">Fluconazole </t>
  </si>
  <si>
    <t>G03CA07; G03CC04</t>
  </si>
  <si>
    <t>Zhou et al 2019: NORMAN cat. 1; EU watch list</t>
  </si>
  <si>
    <t>estrone (E1)</t>
  </si>
  <si>
    <t>G03CA04; G03CC06</t>
  </si>
  <si>
    <t>estriol</t>
  </si>
  <si>
    <t>D10AF02; J01FA01; S01AA17</t>
  </si>
  <si>
    <t>Erythromycin</t>
  </si>
  <si>
    <t>D11AX18; M01AB05; M01AB0; S01BC03</t>
  </si>
  <si>
    <t>Diclofenac</t>
  </si>
  <si>
    <t xml:space="preserve">De Voogt et al 2009; EU watch list to Directive 2008/105/EC </t>
  </si>
  <si>
    <t>Diazepam</t>
  </si>
  <si>
    <t>Dextropropoxyphene</t>
  </si>
  <si>
    <t>R05DA04</t>
  </si>
  <si>
    <t>Codeine</t>
  </si>
  <si>
    <t>Clotrimazole</t>
  </si>
  <si>
    <t>Clofibric acid</t>
  </si>
  <si>
    <t>J01FA09</t>
  </si>
  <si>
    <t>Clarithromycin</t>
  </si>
  <si>
    <t>N06AB04</t>
  </si>
  <si>
    <t>Citalopram</t>
  </si>
  <si>
    <t>S01AE03; S02AA15; S03AA07; J01MA02</t>
  </si>
  <si>
    <t>Ciprofloxacin</t>
  </si>
  <si>
    <t>N03AF01</t>
  </si>
  <si>
    <t>Swiss indicator; NORMAN cat. 1; De Voogt et al 2009; Zhou et al 2019</t>
  </si>
  <si>
    <t>Carbamazepine</t>
  </si>
  <si>
    <t>Candesartan</t>
  </si>
  <si>
    <t>C10AB02</t>
  </si>
  <si>
    <t>Bezafibrate</t>
  </si>
  <si>
    <t>G03CA03</t>
  </si>
  <si>
    <t>Zhou et al 2019: EU watch list</t>
  </si>
  <si>
    <t>beta-estradiol (E2)</t>
  </si>
  <si>
    <t>Benzotriazole</t>
  </si>
  <si>
    <t>J01FA10; S01AA26</t>
  </si>
  <si>
    <t>NORMAN category 2: EU watch list</t>
  </si>
  <si>
    <t>Azithromycin</t>
  </si>
  <si>
    <t>Atorvastatin</t>
  </si>
  <si>
    <t>C07AB03</t>
  </si>
  <si>
    <t>Atenolol</t>
  </si>
  <si>
    <t>Amoxycillin</t>
  </si>
  <si>
    <t>Amisulpride</t>
  </si>
  <si>
    <t>N02BE01</t>
  </si>
  <si>
    <t>Acetaminophen (paracetamol)</t>
  </si>
  <si>
    <t>AC</t>
  </si>
  <si>
    <t>Ozone</t>
  </si>
  <si>
    <t>Advanced treatment (Chlorination, UV)</t>
  </si>
  <si>
    <t>Tertiary (e.g. metal salts)</t>
  </si>
  <si>
    <t>Secondary (biological)</t>
  </si>
  <si>
    <t>Primary (conventional settelers)</t>
  </si>
  <si>
    <t>List</t>
  </si>
  <si>
    <t>Substances to be added</t>
  </si>
  <si>
    <r>
      <t>Göbel, A., McArdell, C. S., Joss, A., Siegrist, H., &amp; Giger, W. (2007). Fate of sulfonamides, macrolides, and trimethoprim in different wastewater treatment technologies.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372</t>
    </r>
    <r>
      <rPr>
        <sz val="10"/>
        <color rgb="FF222222"/>
        <rFont val="Arial"/>
        <family val="2"/>
      </rPr>
      <t>(2-3), 361-371.</t>
    </r>
  </si>
  <si>
    <t xml:space="preserve"> </t>
  </si>
  <si>
    <t>NORMAN; EU watch list to Directive 2008/105/EC; De Voogt et al 2009</t>
  </si>
  <si>
    <r>
      <t>Carballa, M., Omil, F., Lema, J. M., Llompart, M., Garcia, C., Rodriguez, I., ... &amp; Ternes, T. (2005). Behaviour of pharmaceuticals and personal care products in a sewage treatment plant of northwest Spain. </t>
    </r>
    <r>
      <rPr>
        <i/>
        <sz val="10"/>
        <color rgb="FF222222"/>
        <rFont val="Arial"/>
        <family val="2"/>
      </rPr>
      <t>Water Science and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52</t>
    </r>
    <r>
      <rPr>
        <sz val="10"/>
        <color rgb="FF222222"/>
        <rFont val="Arial"/>
        <family val="2"/>
      </rPr>
      <t>(8), 29-35.</t>
    </r>
  </si>
  <si>
    <t>Ethinylestradiol (EE2)</t>
  </si>
  <si>
    <t>Sulfapyridine</t>
  </si>
  <si>
    <r>
      <t>Gao, J., Huang, J., Chen, W., Wang, B., Wang, Y., Deng, S., &amp; Yu, G. (2016). Fate and removal of typical pharmaceutical and personal care products in a wastewater treatment plant from Beijing: a mass balance study. </t>
    </r>
    <r>
      <rPr>
        <i/>
        <sz val="10"/>
        <color rgb="FF222222"/>
        <rFont val="Arial"/>
        <family val="2"/>
      </rPr>
      <t>Frontiers of Environmental Science &amp; Engineering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</t>
    </r>
    <r>
      <rPr>
        <sz val="10"/>
        <color rgb="FF222222"/>
        <rFont val="Arial"/>
        <family val="2"/>
      </rPr>
      <t>(3), 491-501.</t>
    </r>
  </si>
  <si>
    <r>
      <t>Braga, O., Smythe, G. A., Schäfer, A. I., &amp; Feitz, A. J. (2005). Fate of steroid estrogens in Australian inland and coastal wastewater treatment plants.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39</t>
    </r>
    <r>
      <rPr>
        <sz val="10"/>
        <color rgb="FF222222"/>
        <rFont val="Arial"/>
        <family val="2"/>
      </rPr>
      <t>(9), 3351-3358.</t>
    </r>
  </si>
  <si>
    <t>Cyclophosphamide</t>
  </si>
  <si>
    <r>
      <t>Gao, P., Ding, Y., Li, H., &amp; Xagoraraki, I. (2012). Occurrence of pharmaceuticals in a municipal wastewater treatment plant: mass balance and removal processes.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88</t>
    </r>
    <r>
      <rPr>
        <sz val="10"/>
        <color rgb="FF222222"/>
        <rFont val="Arial"/>
        <family val="2"/>
      </rPr>
      <t>(1), 17-24.</t>
    </r>
  </si>
  <si>
    <t>Thomas, P. M., &amp; Foster, G. D. (2005). Tracking acidic pharmaceuticals, caffeine, and triclosan through the wastewater treatment process. Environmental Toxicology and Chemistry: An International Journal, 24(1), 25-30.</t>
  </si>
  <si>
    <r>
      <t>Thomas, P. M., &amp; Foster, G. D. (2005). Tracking acidic pharmaceuticals, caffeine, and triclosan through the wastewater treatment process. </t>
    </r>
    <r>
      <rPr>
        <i/>
        <sz val="10"/>
        <color rgb="FF222222"/>
        <rFont val="Arial"/>
        <family val="2"/>
      </rPr>
      <t>Environmental Toxicology and Chemistry: An International Journal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24</t>
    </r>
    <r>
      <rPr>
        <sz val="10"/>
        <color rgb="FF222222"/>
        <rFont val="Arial"/>
        <family val="2"/>
      </rPr>
      <t>(1), 25-30.</t>
    </r>
  </si>
  <si>
    <r>
      <t>Joss, A., Keller, E., Alder, A. C., Göbel, A., McArdell, C. S., Ternes, T., &amp; Siegrist, H. (2005). Removal of pharmaceuticals and fragrances in biological wastewater treatment.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39</t>
    </r>
    <r>
      <rPr>
        <sz val="10"/>
        <color rgb="FF222222"/>
        <rFont val="Arial"/>
        <family val="2"/>
      </rPr>
      <t>(14), 3139-3152.</t>
    </r>
  </si>
  <si>
    <r>
      <t>Rosal, R., Rodríguez, A., Perdigón-Melón, J. A., Petre, A., García-Calvo, E., Gómez, M. J., ... &amp; Fernández-Alba, A. R. (2010). Occurrence of emerging pollutants in urban wastewater and their removal through biological treatment followed by ozonation.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44</t>
    </r>
    <r>
      <rPr>
        <sz val="10"/>
        <color rgb="FF222222"/>
        <rFont val="Arial"/>
        <family val="2"/>
      </rPr>
      <t>(2), 578-588.</t>
    </r>
  </si>
  <si>
    <r>
      <t>Loganathan, B., Phillips, M., Mowery, H., &amp; Jones-Lepp, T. L. (2009). Contamination profiles and mass loadings of macrolide antibiotics and illicit drugs from a small urban wastewater treatment plant.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75</t>
    </r>
    <r>
      <rPr>
        <sz val="10"/>
        <color rgb="FF222222"/>
        <rFont val="Arial"/>
        <family val="2"/>
      </rPr>
      <t>(1), 70-77.</t>
    </r>
  </si>
  <si>
    <r>
      <t>Margot, J., Kienle, C., Magnet, A., Weil, M., Rossi, L., De Alencastro, L. F., ... &amp; Barry, D. A. (2013). Treatment of micropollutants in municipal wastewater: ozone or powdered activated carbon?.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461</t>
    </r>
    <r>
      <rPr>
        <sz val="10"/>
        <color rgb="FF222222"/>
        <rFont val="Arial"/>
        <family val="2"/>
      </rPr>
      <t>, 480-498.</t>
    </r>
  </si>
  <si>
    <r>
      <t>Zhou, L. J., Ying, G. G., Liu, S., Zhao, J. L., Yang, B., Chen, Z. F., &amp; Lai, H. J. (2013). Occurrence and fate of eleven classes of antibiotics in two typical wastewater treatment plants in South China.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452</t>
    </r>
    <r>
      <rPr>
        <sz val="10"/>
        <color rgb="FF222222"/>
        <rFont val="Arial"/>
        <family val="2"/>
      </rPr>
      <t>, 365-376.</t>
    </r>
  </si>
  <si>
    <r>
      <t>Behera, S. K., Kim, H. W., Oh, J. E., &amp; Park, H. S. (2011). Occurrence and removal of antibiotics, hormones and several other pharmaceuticals in wastewater treatment plants of the largest industrial city of Korea.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409</t>
    </r>
    <r>
      <rPr>
        <sz val="10"/>
        <color rgb="FF222222"/>
        <rFont val="Arial"/>
        <family val="2"/>
      </rPr>
      <t>(20), 4351-4360.</t>
    </r>
  </si>
  <si>
    <r>
      <t>Gómez, M. J., Bueno, M. M., Lacorte, S., Fernández-Alba, A. R., &amp; Agüera, A. (2007). Pilot survey monitoring pharmaceuticals and related compounds in a sewage treatment plant located on the Mediterranean coast.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66</t>
    </r>
    <r>
      <rPr>
        <sz val="10"/>
        <color rgb="FF222222"/>
        <rFont val="Arial"/>
        <family val="2"/>
      </rPr>
      <t>(6), 993-1002.</t>
    </r>
  </si>
  <si>
    <r>
      <t>Bourgin, M., Beck, B., Boehler, M., Borowska, E., Fleiner, J., Salhi, E., ... &amp; McArdell, C. S. (2018). Evaluation of a full-scale wastewater treatment plant upgraded with ozonation and biological post-treatments: Abatement of micropollutants, formation of transformation products and oxidation by-products.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129</t>
    </r>
    <r>
      <rPr>
        <sz val="10"/>
        <color rgb="FF222222"/>
        <rFont val="Arial"/>
        <family val="2"/>
      </rPr>
      <t>, 486-498.</t>
    </r>
  </si>
  <si>
    <r>
      <t>Kulandaivelu, J., Gao, J., Song, Y., Shrestha, S., Li, X., Li, J., ... &amp; Jiang, G. (2019). Removal of pharmaceuticals and illicit drugs from wastewater due to ferric dosing in sewers.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53</t>
    </r>
    <r>
      <rPr>
        <sz val="10"/>
        <color rgb="FF222222"/>
        <rFont val="Arial"/>
        <family val="2"/>
      </rPr>
      <t>(11), 6245-6254.</t>
    </r>
  </si>
  <si>
    <t>Rosario-Ortiz, F. L., Wert, E. C., &amp; Snyder, S. A. (2010). Evaluation of UV/H2O2 treatment for the oxidation of pharmaceuticals in wastewater. Water research, 44(5), 1440-1448.</t>
  </si>
  <si>
    <t>Vaiano, V., Matarangolo, M., &amp; Sacco, O. (2018). UV-LEDs floating-bed photoreactor for the removal of caffeine and paracetamol using ZnO supported on polystyrene pellets. Chemical Engineering Journal, 350, 703-713.</t>
  </si>
  <si>
    <t>Huber, M. M., GÖbel, A., Joss, A., Hermann, N., LÖffler, D., McArdell, C. S., ... &amp; von Gunten, U. (2005). Oxidation of pharmaceuticals during ozonation of municipal wastewater effluents: a pilot study. Environmental science &amp; technology, 39(11), 4290-4299.</t>
  </si>
  <si>
    <t>Kasprzyk-Hordern, B., Dinsdale, R. M., &amp; Guwy, A. J. (2009). The removal of pharmaceuticals, personal care products, endocrine disruptors and illicit drugs during wastewater treatment and its impact on the quality of receiving waters. Water research, 43(2), 363-380.</t>
  </si>
  <si>
    <t>Gerrity, D., Gamage, S., Holady, J. C., Mawhinney, D. B., Quiñones, O., Trenholm, R. A., &amp; Snyder, S. A. (2011). Pilot-scale evaluation of ozone and biological activated carbon for trace organic contaminant mitigation and disinfection. Water research, 45(5), 2155-2165.</t>
  </si>
  <si>
    <t>Bendz, D., Paxéus, N. A., Ginn, T. R., &amp; Loge, F. J. (2005). Occurrence and fate of pharmaceutically active compounds in the environment, a case study: Höje River in Sweden. Journal of hazardous materials, 122(3), 195-204.</t>
  </si>
  <si>
    <t>Ávila, C., Reyes, C., Bayona, J. M., &amp; García, J. (2013). Emerging organic contaminant removal depending on primary treatment and operational strategy in horizontal subsurface flow constructed wetlands: influence of redox. Water research, 47(1), 315-325.</t>
  </si>
  <si>
    <t>Hijosa-Valsero, M., Matamoros, V., Pedescoll, A., Martin-Villacorta, J., Becares, E., Garcia, J., &amp; Bayona, J. M. (2011). Evaluation of primary treatment and loading regimes in the removal of pharmaceuticals and personal care products from urban wastewaters by subsurface-flow constructed wetlands. International Journal of Environmental and Analytical Chemistry, 91(7-8), 632-653.</t>
  </si>
  <si>
    <t>Miege, C., Choubert, J. M., Ribeiro, L., Eusèbe, M., &amp; Coquery, M. (2009). Fate of pharmaceuticals and personal care products in wastewater treatment plants–conception of a database and first results. Environmental Pollution, 157(5), 1721-1726.</t>
  </si>
  <si>
    <t>Gabet-Giraud, V., Miege, C., Choubert, J. M., Ruel, S. M., &amp; Coquery, M. (2010). Occurrence and removal of estrogens and beta blockers by various processes in wastewater treatment plants. Science of the total environment, 408(19), 4257-4269.</t>
  </si>
  <si>
    <t>Kovalova, L., Siegrist, H., Von Gunten, U., Eugster, J., Hagenbuch, M., Wittmer, A., ... &amp; McArdell, C. S. (2013). Elimination of micropollutants during post-treatment of hospital wastewater with powdered activated carbon, ozone, and UV. Environmental science &amp; technology, 47(14), 7899-7908.</t>
  </si>
  <si>
    <t>Reungoat, J., Macova, M., Escher, B. I., Carswell, S., Mueller, J. F., &amp; Keller, J. (2010). Removal of micropollutants and reduction of biological activity in a full scale reclamation plant using ozonation and activated carbon filtration. Water research, 44(2), 625-637.</t>
  </si>
  <si>
    <t>Hollender, J., Zimmermann, S. G., Koepke, S., Krauss, M., McArdell, C. S., Ort, C., ... &amp; Siegrist, H. (2009). Elimination of organic micropollutants in a municipal wastewater treatment plant upgraded with a full-scale post-ozonation followed by sand filtration. Environmental science &amp; technology, 43(20), 7862-7869.</t>
  </si>
  <si>
    <t>Vieno, N. M., Härkki, H., Tuhkanen, T., &amp; Kronberg, L. (2007). Occurrence of pharmaceuticals in river water and their elimination in a pilot-scale drinking water treatment plant. Environmental science &amp; technology, 41(14), 5077-5084.</t>
  </si>
  <si>
    <t>Simazaki, D., Fujiwara, J., Manabe, S., Matsuda, M., Asami, M., &amp; Kunikane, S. (2008). Removal of selected pharmaceuticals by chlorination, coagulation–sedimentation and powdered activated carbon treatment. Water Science and Technology, 58(5), 1129-1135.</t>
  </si>
  <si>
    <t>Gutiérrez, M., Grillini, V., Pavlović, D. M., &amp; Verlicchi, P. (2021). Activated carbon coupled with advanced biological wastewater treatment: A review of the enhancement in micropollutant removal. Science of The Total Environment, 790, 148050.</t>
  </si>
  <si>
    <t>Bollmann, A. F., Seitz, W., Prasse, C., Lucke, T., Schulz, W., &amp; Ternes, T. (2016). Occurrence and fate of amisulpride, sulpiride, and lamotrigine in municipal wastewater treatment plants with biological treatment and ozonation. Journal of hazardous materials, 320, 204-215.</t>
  </si>
  <si>
    <t>Watkinson, A. J., Murby, E. J., &amp; Costanzo, S. D. (2007). Removal of antibiotics in conventional and advanced wastewater treatment: implications for environmental discharge and wastewater recycling. Water research, 41(18), 4164-4176.</t>
  </si>
  <si>
    <t>Couto, C. F., Lange, L. C., &amp; Amaral, M. C. (2019). Occurrence, fate and removal of pharmaceutically active compounds (PhACs) in water and wastewater treatment plants—A review. Journal of Water Process Engineering, 32, 100927.</t>
  </si>
  <si>
    <t>Castiglioni, S., Bagnati, R., Fanelli, R., Pomati, F., Calamari, D., &amp; Zuccato, E. (2006). Removal of pharmaceuticals in sewage treatment plants in Italy. Environmental science &amp; technology, 40(1), 357-363.</t>
  </si>
  <si>
    <r>
      <t>Behera, S. K., Kim, H. W., Oh, J. E., &amp; Park, H. S. (2011). Occurrence and removal of antibiotics, hormones and several other pharmaceuticals in wastewater treatment plants of the largest industrial city of Korea.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409</t>
    </r>
    <r>
      <rPr>
        <sz val="10"/>
        <rFont val="Arial"/>
        <family val="2"/>
      </rPr>
      <t>(20), 4351-4360.</t>
    </r>
  </si>
  <si>
    <r>
      <t>Bourgin, M., Beck, B., Boehler, M., Borowska, E., Fleiner, J., Salhi, E., ... &amp; McArdell, C. S. (2018). Evaluation of a full-scale wastewater treatment plant upgraded with ozonation and biological post-treatments: Abatement of micropollutants, formation of transformation products and oxidation by-products.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129</t>
    </r>
    <r>
      <rPr>
        <sz val="10"/>
        <rFont val="Arial"/>
        <family val="2"/>
      </rPr>
      <t>, 486-498.</t>
    </r>
  </si>
  <si>
    <r>
      <t>Braga, O., Smythe, G. A., Schäfer, A. I., &amp; Feitz, A. J. (2005). Fate of steroid estrogens in Australian inland and coastal wastewater treatment plants. </t>
    </r>
    <r>
      <rPr>
        <i/>
        <sz val="10"/>
        <rFont val="Arial"/>
        <family val="2"/>
      </rPr>
      <t>Environmental Science &amp;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39</t>
    </r>
    <r>
      <rPr>
        <sz val="10"/>
        <rFont val="Arial"/>
        <family val="2"/>
      </rPr>
      <t>(9), 3351-3358.</t>
    </r>
  </si>
  <si>
    <r>
      <t>Carballa, M., Omil, F., Lema, J. M., Llompart, M., Garcia, C., Rodriguez, I., ... &amp; Ternes, T. (2005). Behaviour of pharmaceuticals and personal care products in a sewage treatment plant of northwest Spain. </t>
    </r>
    <r>
      <rPr>
        <i/>
        <sz val="10"/>
        <rFont val="Arial"/>
        <family val="2"/>
      </rPr>
      <t>Water Science and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52</t>
    </r>
    <r>
      <rPr>
        <sz val="10"/>
        <rFont val="Arial"/>
        <family val="2"/>
      </rPr>
      <t>(8), 29-35.</t>
    </r>
  </si>
  <si>
    <r>
      <t>Gao, J., Huang, J., Chen, W., Wang, B., Wang, Y., Deng, S., &amp; Yu, G. (2016). Fate and removal of typical pharmaceutical and personal care products in a wastewater treatment plant from Beijing: a mass balance study. </t>
    </r>
    <r>
      <rPr>
        <i/>
        <sz val="10"/>
        <rFont val="Arial"/>
        <family val="2"/>
      </rPr>
      <t>Frontiers of Environmental Science &amp; Engineering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10</t>
    </r>
    <r>
      <rPr>
        <sz val="10"/>
        <rFont val="Arial"/>
        <family val="2"/>
      </rPr>
      <t>(3), 491-501.</t>
    </r>
  </si>
  <si>
    <r>
      <t>Gao, P., Ding, Y., Li, H., &amp; Xagoraraki, I. (2012). Occurrence of pharmaceuticals in a municipal wastewater treatment plant: mass balance and removal processes.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88</t>
    </r>
    <r>
      <rPr>
        <sz val="10"/>
        <rFont val="Arial"/>
        <family val="2"/>
      </rPr>
      <t>(1), 17-24.</t>
    </r>
  </si>
  <si>
    <r>
      <t>Göbel, A., McArdell, C. S., Joss, A., Siegrist, H., &amp; Giger, W. (2007). Fate of sulfonamides, macrolides, and trimethoprim in different wastewater treatment technologies.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372</t>
    </r>
    <r>
      <rPr>
        <sz val="10"/>
        <rFont val="Arial"/>
        <family val="2"/>
      </rPr>
      <t>(2-3), 361-371.</t>
    </r>
  </si>
  <si>
    <r>
      <t>Gómez, M. J., Bueno, M. M., Lacorte, S., Fernández-Alba, A. R., &amp; Agüera, A. (2007). Pilot survey monitoring pharmaceuticals and related compounds in a sewage treatment plant located on the Mediterranean coast.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66</t>
    </r>
    <r>
      <rPr>
        <sz val="10"/>
        <rFont val="Arial"/>
        <family val="2"/>
      </rPr>
      <t>(6), 993-1002.</t>
    </r>
  </si>
  <si>
    <r>
      <t>Joss, A., Keller, E., Alder, A. C., Göbel, A., McArdell, C. S., Ternes, T., &amp; Siegrist, H. (2005). Removal of pharmaceuticals and fragrances in biological wastewater treatment.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39</t>
    </r>
    <r>
      <rPr>
        <sz val="10"/>
        <rFont val="Arial"/>
        <family val="2"/>
      </rPr>
      <t>(14), 3139-3152.</t>
    </r>
  </si>
  <si>
    <r>
      <t>Kulandaivelu, J., Gao, J., Song, Y., Shrestha, S., Li, X., Li, J., ... &amp; Jiang, G. (2019). Removal of pharmaceuticals and illicit drugs from wastewater due to ferric dosing in sewers. </t>
    </r>
    <r>
      <rPr>
        <i/>
        <sz val="10"/>
        <rFont val="Arial"/>
        <family val="2"/>
      </rPr>
      <t>Environmental science &amp;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53</t>
    </r>
    <r>
      <rPr>
        <sz val="10"/>
        <rFont val="Arial"/>
        <family val="2"/>
      </rPr>
      <t>(11), 6245-6254.</t>
    </r>
  </si>
  <si>
    <r>
      <t>Loganathan, B., Phillips, M., Mowery, H., &amp; Jones-Lepp, T. L. (2009). Contamination profiles and mass loadings of macrolide antibiotics and illicit drugs from a small urban wastewater treatment plant.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75</t>
    </r>
    <r>
      <rPr>
        <sz val="10"/>
        <rFont val="Arial"/>
        <family val="2"/>
      </rPr>
      <t>(1), 70-77.</t>
    </r>
  </si>
  <si>
    <r>
      <t>Margot, J., Kienle, C., Magnet, A., Weil, M., Rossi, L., De Alencastro, L. F., ... &amp; Barry, D. A. (2013). Treatment of micropollutants in municipal wastewater: ozone or powdered activated carbon?.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461</t>
    </r>
    <r>
      <rPr>
        <sz val="10"/>
        <rFont val="Arial"/>
        <family val="2"/>
      </rPr>
      <t>, 480-498.</t>
    </r>
  </si>
  <si>
    <r>
      <t>Rosal, R., Rodríguez, A., Perdigón-Melón, J. A., Petre, A., García-Calvo, E., Gómez, M. J., ... &amp; Fernández-Alba, A. R. (2010). Occurrence of emerging pollutants in urban wastewater and their removal through biological treatment followed by ozonation.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44</t>
    </r>
    <r>
      <rPr>
        <sz val="10"/>
        <rFont val="Arial"/>
        <family val="2"/>
      </rPr>
      <t>(2), 578-588.</t>
    </r>
  </si>
  <si>
    <r>
      <t>Zhou, L. J., Ying, G. G., Liu, S., Zhao, J. L., Yang, B., Chen, Z. F., &amp; Lai, H. J. (2013). Occurrence and fate of eleven classes of antibiotics in two typical wastewater treatment plants in South China.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452</t>
    </r>
    <r>
      <rPr>
        <sz val="10"/>
        <rFont val="Arial"/>
        <family val="2"/>
      </rPr>
      <t>, 365-376.</t>
    </r>
  </si>
  <si>
    <t>Ternes, T. A., Stüber, J., Herrmann, N., McDowell, D., Ried, A., Kampmann, M., &amp; Teiser, B. (2003). Ozonation: a tool for removal of pharmaceuticals, contrast media and musk fragrances from wastewater?. Water research, 37(8), 1976-1982.</t>
  </si>
  <si>
    <t>Ternes, T. A., Meisenheimer, M., McDowell, D., Sacher, F., Brauch, H. J., Haist-Gulde, B., ... &amp; Zulei-Seibert, N. (2002). Removal of pharmaceuticals during drinking water treatment. Environmental science &amp; technology, 36(17), 3855-3863.</t>
  </si>
  <si>
    <t>Lindqvist, N., Tuhkanen, T., &amp; Kronberg, L. (2005). Occurrence of acidic pharmaceuticals in raw and treated sewages and in receiving waters. Water research, 39(11), 2219-2228.</t>
  </si>
  <si>
    <t>Zhou, J. L., Zhang, Z. L., Banks, E., Grover, D., &amp; Jiang, J. (2009). Pharmaceutical residues in wastewater treatment works effluents and their impact on receiving river water. Journal of Hazardous Materials, 166(2-3), 655-661.</t>
  </si>
  <si>
    <t>Prasse, C., Schlüsener, M. P., Schulz, R., &amp; Ternes, T. A. (2010). Antiviral drugs in wastewater and surface waters: a new pharmaceutical class of environmental relevance?. Environmental science &amp; technology, 44(5), 1728-1735.</t>
  </si>
  <si>
    <t>K'oreje, K. O., Vergeynst, L., Ombaka, D., De Wispelaere, P., Okoth, M., Van Langenhove, H., &amp; Demeestere, K. (2016). Occurrence patterns of pharmaceutical residues in wastewater, surface water and groundwater of Nairobi and Kisumu city, Kenya. Chemosphere, 149, 238-244.</t>
  </si>
  <si>
    <r>
      <t>Abafe, O. A., Späth, J., Fick, J., Jansson, S., Buckley, C., Stark, A., ... &amp; Martincigh, B. S. (2018). LC-MS/MS determination of antiretroviral drugs in influents and effluents from wastewater treatment plants in KwaZulu-Natal, South Africa.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200</t>
    </r>
    <r>
      <rPr>
        <sz val="10"/>
        <color rgb="FF222222"/>
        <rFont val="Arial"/>
        <family val="2"/>
      </rPr>
      <t>, 660-670.</t>
    </r>
  </si>
  <si>
    <t>de Lucena, A. L. A., Napoleão, D. C., da Silva, H. V. C., da Rocha Santana, R. M., Ribeiro, B. G., &amp; Duarte, M. M. M. B. (2020). Degradation of the pharmaceuticals lamivudine and zidovudine using advanced oxidation processes. Ciência e Natura, 42, 30.</t>
  </si>
  <si>
    <t>Radjenovic, J., Petrovic, M., &amp; Barceló, D. (2007). Analysis of pharmaceuticals in wastewater and removal using a membrane bioreactor. Analytical and bioanalytical chemistry, 387(4), 1365-1377.</t>
  </si>
  <si>
    <r>
      <t>Radjenovic, J., Petrovic, M., &amp; Barceló, D. (2007). Analysis of pharmaceuticals in wastewater and removal using a membrane bioreactor. </t>
    </r>
    <r>
      <rPr>
        <i/>
        <sz val="10"/>
        <color rgb="FF222222"/>
        <rFont val="Arial"/>
        <family val="2"/>
      </rPr>
      <t>Analytical and bioanalytical chemistry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387</t>
    </r>
    <r>
      <rPr>
        <sz val="10"/>
        <color rgb="FF222222"/>
        <rFont val="Arial"/>
        <family val="2"/>
      </rPr>
      <t>(4), 1365-1377.</t>
    </r>
  </si>
  <si>
    <t>De Voogt et al 2009; Zhou et al 2019: NORMAN cat. 2; EU watch list to Directive 2008/105/EC</t>
  </si>
  <si>
    <t>Swiss indicator; De Voogt et al 2009; Zhou et al 2019; NORMAN cat. 2: EU watch list to Directive 2008/105/EC</t>
  </si>
  <si>
    <t>Swiss indicator; NORMAN CEC for WWTP; De Voogt et al 2009; Zhou et al 2019: NORMAN cat. 1: EU watch list to Directive 2008/105/EC</t>
  </si>
  <si>
    <t>De Voogt et al 2009; Zhou et al 2019: NORMAN cat. 2: EU watch list to Directive 2008/105/EC</t>
  </si>
  <si>
    <r>
      <t>Bueno, M. M., Gomez, M. J., Herrera, S., Hernando, M. D., Agüera, A., &amp; Fernández-Alba, A. R. (2012). Occurrence and persistence of organic emerging contaminants and priority pollutants in five sewage treatment plants of Spain: two years pilot survey monitoring. </t>
    </r>
    <r>
      <rPr>
        <i/>
        <sz val="10"/>
        <color rgb="FF222222"/>
        <rFont val="Arial"/>
        <family val="2"/>
      </rPr>
      <t>Environmental Pollution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164</t>
    </r>
    <r>
      <rPr>
        <sz val="10"/>
        <color rgb="FF222222"/>
        <rFont val="Arial"/>
        <family val="2"/>
      </rPr>
      <t>, 267-273.</t>
    </r>
  </si>
  <si>
    <t>Bueno, M. M., Gomez, M. J., Herrera, S., Hernando, M. D., Agüera, A., &amp; Fernández-Alba, A. R. (2012). Occurrence and persistence of organic emerging contaminants and priority pollutants in five sewage treatment plants of Spain: two years pilot survey monitoring. Environmental Pollution, 164, 267-273.</t>
  </si>
  <si>
    <r>
      <t>Sulaiman, S., Khamis, M., Nir, S., Lelario, F., Scrano, L., Bufo, S. A., ... &amp; Karaman, R. (2015). Stability and removal of atorvastatin, rosuvastatin and simvastatin from wastewater. </t>
    </r>
    <r>
      <rPr>
        <i/>
        <sz val="10"/>
        <color rgb="FF222222"/>
        <rFont val="Arial"/>
        <family val="2"/>
      </rPr>
      <t>Environmental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36</t>
    </r>
    <r>
      <rPr>
        <sz val="10"/>
        <color rgb="FF222222"/>
        <rFont val="Arial"/>
        <family val="2"/>
      </rPr>
      <t>(24), 3232-3242.</t>
    </r>
  </si>
  <si>
    <r>
      <t>Roberts, P. H., &amp; Thomas, K. V. (2006). The occurrence of selected pharmaceuticals in wastewater effluent and surface waters of the lower Tyne catchment.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356</t>
    </r>
    <r>
      <rPr>
        <sz val="10"/>
        <color rgb="FF222222"/>
        <rFont val="Arial"/>
        <family val="2"/>
      </rPr>
      <t>(1-3), 143-153.</t>
    </r>
  </si>
  <si>
    <r>
      <t>Gracia-Lor, E., Sancho, J. V., Serrano, R., &amp; Hernández, F. (2012). Occurrence and removal of pharmaceuticals in wastewater treatment plants at the Spanish Mediterranean area of Valencia.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87</t>
    </r>
    <r>
      <rPr>
        <sz val="10"/>
        <color rgb="FF222222"/>
        <rFont val="Arial"/>
        <family val="2"/>
      </rPr>
      <t>(5), 453-462.</t>
    </r>
  </si>
  <si>
    <r>
      <t>Van De Steene, J. C., Stove, C. P., &amp; Lambert, W. E. (2010). A field study on 8 pharmaceuticals and 1 pesticide in Belgium: removal rates in waste water treatment plants and occurrence in surface water.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408</t>
    </r>
    <r>
      <rPr>
        <sz val="10"/>
        <color rgb="FF222222"/>
        <rFont val="Arial"/>
        <family val="2"/>
      </rPr>
      <t>(16), 3448-3453.</t>
    </r>
  </si>
  <si>
    <r>
      <t>Kim, M., Guerra, P., Shah, A., Parsa, M., Alaee, M., &amp; Smyth, S. A. (2014). Removal of pharmaceuticals and personal care products in a membrane bioreactor wastewater treatment plant. </t>
    </r>
    <r>
      <rPr>
        <i/>
        <sz val="10"/>
        <color rgb="FF222222"/>
        <rFont val="Arial"/>
        <family val="2"/>
      </rPr>
      <t>Water science and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69</t>
    </r>
    <r>
      <rPr>
        <sz val="10"/>
        <color rgb="FF222222"/>
        <rFont val="Arial"/>
        <family val="2"/>
      </rPr>
      <t>(11), 2221-2229.</t>
    </r>
  </si>
  <si>
    <t>Sperlich, A., Harder, M., Zietzschmann, F., &amp; Gnirss, R. (2017). Fate of trace organic compounds in granular activated carbon (GAC) adsorbers for drinking water treatment. Water, 9(7), 479.</t>
  </si>
  <si>
    <r>
      <t>Sauter, D., Dąbrowska, A., Bloch, R., Stapf, M., Miehe, U., Sperlich, A., ... &amp; Wintgens, T. (2021). Deep-bed filters as post-treatment for ozonation in tertiary municipal wastewater treatment: impact of design and operation on treatment goals. </t>
    </r>
    <r>
      <rPr>
        <i/>
        <sz val="10"/>
        <color rgb="FF222222"/>
        <rFont val="Arial"/>
        <family val="2"/>
      </rPr>
      <t>Environmental Science: Water Research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(1), 197-211.</t>
    </r>
  </si>
  <si>
    <r>
      <t>Ternes, T. A., Prasse, C., Eversloh, C. L., Knopp, G., Cornel, P., Schulte-Oehlmann, U., ... &amp; Oehlmann, J. (2017). Integrated evaluation concept to assess the efficacy of advanced wastewater treatment processes for the elimination of micropollutants and pathogens.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51</t>
    </r>
    <r>
      <rPr>
        <sz val="10"/>
        <color rgb="FF222222"/>
        <rFont val="Arial"/>
        <family val="2"/>
      </rPr>
      <t>(1), 308-319.</t>
    </r>
  </si>
  <si>
    <r>
      <t>Lofrano, G., Libralato, G., Casaburi, A., Siciliano, A., Iannece, P., Guida, M., ... &amp; Carotenuto, M. (2018). Municipal wastewater spiramycin removal by conventional treatments and heterogeneous photocatalysis. </t>
    </r>
    <r>
      <rPr>
        <i/>
        <sz val="7"/>
        <color rgb="FF222222"/>
        <rFont val="Arial"/>
        <family val="2"/>
      </rPr>
      <t>Science of the total environment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624</t>
    </r>
    <r>
      <rPr>
        <sz val="7"/>
        <color rgb="FF222222"/>
        <rFont val="Arial"/>
        <family val="2"/>
      </rPr>
      <t>, 461-469.</t>
    </r>
  </si>
  <si>
    <r>
      <t>Castiglioni, S., Bagnati, R., Fanelli, R., Pomati, F., Calamari, D., &amp; Zuccato, E. (2006). Removal of pharmaceuticals in sewage treatment plants in Italy. </t>
    </r>
    <r>
      <rPr>
        <i/>
        <sz val="7"/>
        <color rgb="FF222222"/>
        <rFont val="Arial"/>
        <family val="2"/>
      </rPr>
      <t>Environmental science &amp; technology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40</t>
    </r>
    <r>
      <rPr>
        <sz val="7"/>
        <color rgb="FF222222"/>
        <rFont val="Arial"/>
        <family val="2"/>
      </rPr>
      <t>(1), 357-363.</t>
    </r>
  </si>
  <si>
    <r>
      <t>Lin, A. Y. C., Yu, T. H., &amp; Lateef, S. K. (2009). Removal of pharmaceuticals in secondary wastewater treatment processes in Taiwan. </t>
    </r>
    <r>
      <rPr>
        <i/>
        <sz val="7"/>
        <color rgb="FF222222"/>
        <rFont val="Arial"/>
        <family val="2"/>
      </rPr>
      <t>Journal of hazardous materials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167</t>
    </r>
    <r>
      <rPr>
        <sz val="7"/>
        <color rgb="FF222222"/>
        <rFont val="Arial"/>
        <family val="2"/>
      </rPr>
      <t>(1-3), 1163-1169.</t>
    </r>
  </si>
  <si>
    <r>
      <t>Lin, A. Y. C., Hsueh, J. H. F., &amp; Hong, P. K. (2015). Removal of antineoplastic drugs cyclophosphamide, ifosfamide, and 5-fluorouracil and a vasodilator drug pentoxifylline from wastewaters by ozonation. </t>
    </r>
    <r>
      <rPr>
        <i/>
        <sz val="7"/>
        <color rgb="FF222222"/>
        <rFont val="Arial"/>
        <family val="2"/>
      </rPr>
      <t>Environmental Science and Pollution Research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22</t>
    </r>
    <r>
      <rPr>
        <sz val="7"/>
        <color rgb="FF222222"/>
        <rFont val="Arial"/>
        <family val="2"/>
      </rPr>
      <t>(1), 508-515.</t>
    </r>
  </si>
  <si>
    <r>
      <t>Snyder, S. A., Wert, E. C., Rexing, D. J., Zegers, R. E., &amp; Drury, D. D. (2006). Ozone oxidation of endocrine disruptors and pharmaceuticals in surface water and wastewater. </t>
    </r>
    <r>
      <rPr>
        <i/>
        <sz val="7"/>
        <color rgb="FF222222"/>
        <rFont val="Arial"/>
        <family val="2"/>
      </rPr>
      <t>Ozone: Science and Engineering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28</t>
    </r>
    <r>
      <rPr>
        <sz val="7"/>
        <color rgb="FF222222"/>
        <rFont val="Arial"/>
        <family val="2"/>
      </rPr>
      <t>(6), 445-460.</t>
    </r>
  </si>
  <si>
    <r>
      <t>Abel, C. D., Sharma, S. K., Maeng, S. K., Magic-Knezev, A., Kennedy, M. D., &amp; Amy, G. L. (2013). Fate of bulk organic matter, nitrogen, and pharmaceutically active compounds in batch experiments simulating soil aquifer treatment (SAT) using primary effluent. </t>
    </r>
    <r>
      <rPr>
        <i/>
        <sz val="7"/>
        <color rgb="FF222222"/>
        <rFont val="Arial"/>
        <family val="2"/>
      </rPr>
      <t>Water, Air, &amp; Soil Pollution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224</t>
    </r>
    <r>
      <rPr>
        <sz val="7"/>
        <color rgb="FF222222"/>
        <rFont val="Arial"/>
        <family val="2"/>
      </rPr>
      <t>(7), 1-12.</t>
    </r>
  </si>
  <si>
    <t>Average removal</t>
  </si>
  <si>
    <t>Min removal</t>
  </si>
  <si>
    <t>Max removal</t>
  </si>
  <si>
    <t>Median removal</t>
  </si>
  <si>
    <t>N05AL05</t>
  </si>
  <si>
    <t>J01CA04</t>
  </si>
  <si>
    <t>C10AA05</t>
  </si>
  <si>
    <t>Multiple uses, mainly antimicrobial</t>
  </si>
  <si>
    <t>C09CA06</t>
  </si>
  <si>
    <t>A01AB18, D01AC01, G01AF02</t>
  </si>
  <si>
    <t>L01AA01</t>
  </si>
  <si>
    <t>N02AC04</t>
  </si>
  <si>
    <t>N05BA01</t>
  </si>
  <si>
    <t>G03CA01, L02AA03</t>
  </si>
  <si>
    <t>D01AC15, J02AC01</t>
  </si>
  <si>
    <t>N03AX12</t>
  </si>
  <si>
    <t>J01FF02</t>
  </si>
  <si>
    <t>C07AB02</t>
  </si>
  <si>
    <t xml:space="preserve">A01AB09, A07AC01, D01AC02 ,G01AF04, J02AB01, S02AA13	</t>
  </si>
  <si>
    <t>S01AE02, J01MA06</t>
  </si>
  <si>
    <t>D06AA03, G01AA07, J01AA06, S01AA04</t>
  </si>
  <si>
    <t>C04AD03</t>
  </si>
  <si>
    <t>N02BB04</t>
  </si>
  <si>
    <t>A02BA02</t>
  </si>
  <si>
    <t>J01FA06</t>
  </si>
  <si>
    <t>C07AA07</t>
  </si>
  <si>
    <t>J01FA02</t>
  </si>
  <si>
    <t>J01EC02</t>
  </si>
  <si>
    <t>J01EC01</t>
  </si>
  <si>
    <t>J01EB04</t>
  </si>
  <si>
    <t>N02AX02</t>
  </si>
  <si>
    <t>J01EA01</t>
  </si>
  <si>
    <t>C09CA03</t>
  </si>
  <si>
    <t>N06AX16</t>
  </si>
  <si>
    <t>J05AF01</t>
  </si>
  <si>
    <r>
      <t>Rosario-Ortiz, F. L., Wert, E. C., &amp; Snyder, S. A. (2010). Evaluation of UV/H2O2 treatment for the oxidation of pharmaceuticals in wastewater.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44</t>
    </r>
    <r>
      <rPr>
        <sz val="10"/>
        <rFont val="Arial"/>
        <family val="2"/>
      </rPr>
      <t>(5), 1440-1448.</t>
    </r>
  </si>
  <si>
    <t>Matamoros, V., &amp; Salvadó, V. (2013). Evaluation of a coagulation/flocculation-lamellar clarifier and filtration-UV-chlorination reactor for removing emerging contaminants at full-scale wastewater treatment plants in Spain. Journal of environmental management, 117, 96-102.</t>
  </si>
  <si>
    <t>Kosjek, T., Heath, E., &amp; Kompare, B. (2007). Removal of pharmaceutical residues in a pilot wastewater treatment plant. Analytical and bioanalytical chemistry, 387(4), 1379-1387.</t>
  </si>
  <si>
    <t>Cuerda-Correa, E. M., Alexandre-Franco, M. F., &amp; Fernández-González, C. (2019). Advanced oxidation processes for the removal of antibiotics from water. An overview. Water, 12(1), 102.</t>
  </si>
  <si>
    <t>Guillossou, R., Le Roux, J., Mailler, R., Vulliet, E., Morlay, C., Nauleau, F., ... &amp; Rocher, V. (2019). Organic micropollutants in a large wastewater treatment plant: what are the benefits of an advanced treatment by activated carbon adsorption in comparison to conventional treatment?. Chemosphere, 218, 1050-1060.</t>
  </si>
  <si>
    <t>Moussavi, G., Alahabadi, A., Yaghmaeian, K., &amp; Eskandari, M. (2013). Preparation, characterization and adsorption potential of the NH4Cl-induced activated carbon for the removal of amoxicillin antibiotic from water. Chemical engineering journal, 217, 119-128.</t>
  </si>
  <si>
    <t>Yang, Y., Ok, Y. S., Kim, K. H., Kwon, E. E., &amp; Tsang, Y. F. (2017). Occurrences and removal of pharmaceuticals and personal care products (PPCPs) in drinking water and water/sewage treatment plants: A review. Science of the Total Environment, 596, 303-320.</t>
  </si>
  <si>
    <t>ATC code</t>
  </si>
  <si>
    <t>SMILES</t>
  </si>
  <si>
    <t>CC(=O)NC1=CC=C(O)C=C1</t>
  </si>
  <si>
    <t>103-90-2</t>
  </si>
  <si>
    <t>CCN1CCCC1CNC(=O)C1=CC(=C(N)C=C1OC)S(=O)(=O)CC</t>
  </si>
  <si>
    <t>71675-85-9</t>
  </si>
  <si>
    <t>[H][C@]12SC(C)(C)[C@@H](N1C(=O)[C@H]2NC(=O)[C@H](N)C1=CC=C(O)C=C1)C(O)=O</t>
  </si>
  <si>
    <t>26787-78-0</t>
  </si>
  <si>
    <t>CC(C)NCC(O)COC1=CC=C(CC(N)=O)C=C1</t>
  </si>
  <si>
    <t>29122-68-7</t>
  </si>
  <si>
    <t>134523-00-5</t>
  </si>
  <si>
    <t>CC(C)C1=C(C(=O)NC2=CC=CC=C2)C(=C(N1CC[C@@H](O)C[C@@H](O)CC(O)=O)C1=CC=C(F)C=C1)C1=CC=CC=C1</t>
  </si>
  <si>
    <t>CC[C@H]1OC(=O)[C@H](C)[C@@H](O[C@H]2C[C@@](C)(OC)[C@@H](O)[C@H](C)O2)[C@H](C)[C@@H](O[C@@H]2O[C@H](C)C[C@@H]([C@H]2O)N(C)C)[C@](C)(O)C[C@@H](C)CN(C)[C@H](C)[C@@H](O)[C@]1(C)O</t>
  </si>
  <si>
    <t>83905-01-5</t>
  </si>
  <si>
    <t>C1=CC2=NNN=C2C=C1</t>
  </si>
  <si>
    <t>95-14-7</t>
  </si>
  <si>
    <t>[H][C@@]12CC[C@H](O)[C@@]1(C)CC[C@]1([H])C3=C(CC[C@@]21[H])C=C(O)C=C3</t>
  </si>
  <si>
    <t>50-28-2</t>
  </si>
  <si>
    <t>CC(C)(OC1=CC=C(CCNC(=O)C2=CC=C(Cl)C=C2)C=C1)C(O)=O</t>
  </si>
  <si>
    <t>41859-67-0</t>
  </si>
  <si>
    <t>CCOC1=NC2=CC=CC(C(O)=O)=C2N1CC1=CC=C(C=C1)C1=CC=CC=C1C1=NN=NN1</t>
  </si>
  <si>
    <t>139481-59-7</t>
  </si>
  <si>
    <t>NC(=O)N1C2=CC=CC=C2C=CC2=CC=CC=C12</t>
  </si>
  <si>
    <t>298-46-4</t>
  </si>
  <si>
    <t>OC(=O)C1=CN(C2CC2)C2=CC(N3CCNCC3)=C(F)C=C2C1=O</t>
  </si>
  <si>
    <t>85721-33-1</t>
  </si>
  <si>
    <t>CN(C)CCCC1(OCC2=C1C=CC(=C2)C#N)C1=CC=C(F)C=C1</t>
  </si>
  <si>
    <t>59729-33-8</t>
  </si>
  <si>
    <t>[H][C@@]1(C[C@@](C)(OC)[C@@H](O)[C@H](C)O1)O[C@H]1[C@H](C)[C@@H](O[C@]2([H])O[C@H](C)C[C@@H]([C@H]2O)N(C)C)[C@@](C)(C[C@@H](C)C(=O)[C@H](C)[C@@H](O)[C@](C)(O)[C@@H](CC)OC(=O)[C@@H]1C)OC</t>
  </si>
  <si>
    <t>81103-11-9</t>
  </si>
  <si>
    <t>AGOYDEPGAOXOCK-KCBOHYOISA-N</t>
  </si>
  <si>
    <t>QRUDEWIWKLJBPS-UHFFFAOYSA-N</t>
  </si>
  <si>
    <t>InChI Key</t>
  </si>
  <si>
    <t>WSEQXVZVJXJVFP-UHFFFAOYSA-N</t>
  </si>
  <si>
    <t>MYSWGUAQZAJSOK-UHFFFAOYSA-N</t>
  </si>
  <si>
    <t>FFGPTBGBLSHEPO-UHFFFAOYSA-N</t>
  </si>
  <si>
    <t>HTQMVQVXFRQIKW-UHFFFAOYSA-N</t>
  </si>
  <si>
    <t>IIBYAHWJQTYFKB-UHFFFAOYSA-N</t>
  </si>
  <si>
    <t>VOXZDWNPVJITMN-ZBRFXRBCSA-N</t>
  </si>
  <si>
    <t>MQTOSJVFKKJCRP-BICOPXKESA-N</t>
  </si>
  <si>
    <t>XUKUURHRXDUEBC-KAYWLYCHSA-N</t>
  </si>
  <si>
    <t>METKIMKYRPQLGS-UHFFFAOYSA-N</t>
  </si>
  <si>
    <t>RZVAJINKPMORJF-UHFFFAOYSA-N</t>
  </si>
  <si>
    <t>NTJOBXMMWNYJFB-UHFFFAOYSA-N</t>
  </si>
  <si>
    <t>LSQZJLSUYDQPKJ-NJBDSQKTSA-N</t>
  </si>
  <si>
    <t>CC(C)(C(=O)O)OC1=CC=C(C=C1)Cl</t>
  </si>
  <si>
    <t>TXCGAZHTZHNUAI-UHFFFAOYSA-N</t>
  </si>
  <si>
    <t>882-09-7</t>
  </si>
  <si>
    <t>VNFPBHJOKIVQEB-UHFFFAOYSA-N</t>
  </si>
  <si>
    <t>ClC1=CC=CC=C1C(N1C=CN=C1)(C1=CC=CC=C1)C1=CC=CC=C1</t>
  </si>
  <si>
    <t>23593-75-1</t>
  </si>
  <si>
    <t>[H][C@]12C=C[C@H](O)[C@@H]3OC4=C5C(C[C@H]1N(C)CC[C@@]235)=CC=C4OC</t>
  </si>
  <si>
    <t>OROGSEYTTFOCAN-DNJOTXNNSA-N</t>
  </si>
  <si>
    <t>76-57-3</t>
  </si>
  <si>
    <t>ClCCN(CCCl)P1(=O)NCCCO1</t>
  </si>
  <si>
    <t>CMSMOCZEIVJLDB-UHFFFAOYSA-N</t>
  </si>
  <si>
    <t>50-18-0</t>
  </si>
  <si>
    <t>XLMALTXPSGQGBX-GCJKJVERSA-N</t>
  </si>
  <si>
    <t>CCC(=O)O[C@@](CC1=CC=CC=C1)([C@H](C)CN(C)C)C1=CC=CC=C1</t>
  </si>
  <si>
    <t>469-62-5</t>
  </si>
  <si>
    <t>CN1C2=C(C=C(Cl)C=C2)C(=NCC1=O)C1=CC=CC=C1</t>
  </si>
  <si>
    <t>AAOVKJBEBIDNHE-UHFFFAOYSA-N</t>
  </si>
  <si>
    <t>439-14-5</t>
  </si>
  <si>
    <t>DCOPUUMXTXDBNB-UHFFFAOYSA-N</t>
  </si>
  <si>
    <t>OC(=O)CC1=CC=CC=C1NC1=C(Cl)C=CC=C1Cl</t>
  </si>
  <si>
    <t>15307-86-5</t>
  </si>
  <si>
    <t>CC[C@H]1OC(=O)[C@H](C)[C@@H](O[C@H]2C[C@@](C)(OC)[C@@H](O)[C@H](C)O2)[C@H](C)[C@@H](O[C@@H]2O[C@H](C)C[C@@H]([C@H]2O)N(C)C)[C@](C)(O)C[C@@H](C)C(=O)[C@H](C)[C@@H](O)[C@]1(C)O</t>
  </si>
  <si>
    <t>114-07-8</t>
  </si>
  <si>
    <t>ULGZDMOVFRHVEP-RWJQBGPGSA-N</t>
  </si>
  <si>
    <t>[H][C@@]12C[C@@H](O)[C@H](O)[C@@]1(C)CC[C@]1([H])C3=C(CC[C@@]21[H])C=C(O)C=C3</t>
  </si>
  <si>
    <t>PROQIPRRNZUXQM-ZXXIGWHRSA-N</t>
  </si>
  <si>
    <t>50-27-1</t>
  </si>
  <si>
    <t>[H][C@@]12CCC(=O)[C@@]1(C)CC[C@]1([H])C3=C(CC[C@@]21[H])C=C(O)C=C3</t>
  </si>
  <si>
    <t>DNXHEGUUPJUMQT-CBZIJGRNSA-N</t>
  </si>
  <si>
    <t>53-16-7</t>
  </si>
  <si>
    <t>[H][C@@]12CC[C@@](O)(C#C)[C@@]1(C)CC[C@]1([H])C3=C(CC[C@@]21[H])C=C(O)C=C3</t>
  </si>
  <si>
    <t>BFPYWIDHMRZLRN-SLHNCBLASA-N</t>
  </si>
  <si>
    <t>57-63-6</t>
  </si>
  <si>
    <t>RFHAOTPXVQNOHP-UHFFFAOYSA-N</t>
  </si>
  <si>
    <t>OC(CN1C=NC=N1)(CN1C=NC=N1)C1=C(F)C=C(F)C=C1</t>
  </si>
  <si>
    <t>86386-73-4</t>
  </si>
  <si>
    <t>CNCCC(OC1=CC=C(C=C1)C(F)(F)F)C1=CC=CC=C1</t>
  </si>
  <si>
    <t>RTHCYVBBDHJXIQ-UHFFFAOYSA-N</t>
  </si>
  <si>
    <t>54910-89-3</t>
  </si>
  <si>
    <t>NCC1(CC(O)=O)CCCCC1</t>
  </si>
  <si>
    <t>UGJMXCAKCUNAIE-UHFFFAOYSA-N</t>
  </si>
  <si>
    <t>60142-96-3</t>
  </si>
  <si>
    <t>CC1=CC(OCCCC(C)(C)C(O)=O)=C(C)C=C1</t>
  </si>
  <si>
    <t>HEMJJKBWTPKOJG-UHFFFAOYSA-N</t>
  </si>
  <si>
    <t>25812-30-0</t>
  </si>
  <si>
    <t>JZUFKLXOESDKRF-UHFFFAOYSA-N</t>
  </si>
  <si>
    <t>NS(=O)(=O)C1=C(Cl)C=C2NCNS(=O)(=O)C2=C1</t>
  </si>
  <si>
    <t>58-93-5</t>
  </si>
  <si>
    <t>Irbesartan</t>
  </si>
  <si>
    <t>CCCCC1=NC2(CCCC2)C(=O)N1CC1=CC=C(C=C1)C1=CC=CC=C1C1=NNN=N1</t>
  </si>
  <si>
    <t>YOSHYTLCDANDAN-UHFFFAOYSA-N</t>
  </si>
  <si>
    <t>138402-11-6</t>
  </si>
  <si>
    <t>HEFNNWSXXWATRW-UHFFFAOYSA-N</t>
  </si>
  <si>
    <t>CC(C)CC1=CC=C(C=C1)C(C)C(O)=O</t>
  </si>
  <si>
    <t>15687-27-1</t>
  </si>
  <si>
    <t>OJMMVQQUTAEWLP-KIDUDLJLSA-N</t>
  </si>
  <si>
    <t>[H][C@]1(C[C@@H](CCC)CN1C)C(=O)N[C@H]([C@@H](C)O)[C@H]1O[C@H](SC)[C@H](O)[C@@H](O)[C@H]1O</t>
  </si>
  <si>
    <t>154-21-2</t>
  </si>
  <si>
    <t>IUBSYMUCCVWXPE-UHFFFAOYSA-N</t>
  </si>
  <si>
    <t>COCCC1=CC=C(OCC(O)CNC(C)C)C=C1</t>
  </si>
  <si>
    <t>51384-51-1</t>
  </si>
  <si>
    <t>BYBLEWFAAKGYCD-UHFFFAOYSA-N</t>
  </si>
  <si>
    <t>ClC1=CC(Cl)=C(COC(CN2C=CN=C2)C2=C(Cl)C=C(Cl)C=C2)C=C1</t>
  </si>
  <si>
    <t>22916-47-8</t>
  </si>
  <si>
    <t>83-15-8</t>
  </si>
  <si>
    <t>CN1N(C(=O)C(NC(C)=O)=C1C)C1=CC=CC=C1</t>
  </si>
  <si>
    <t>OIAGWXKSCXPNNZ-UHFFFAOYSA-N</t>
  </si>
  <si>
    <t>CMWTZPSULFXXJA-VIFPVBQESA-N</t>
  </si>
  <si>
    <t>COC1=CC2=C(C=C1)C=C(C=C2)[C@H](C)C(O)=O</t>
  </si>
  <si>
    <t>22204-53-1</t>
  </si>
  <si>
    <t>4-Formylaminoantipyrine</t>
  </si>
  <si>
    <t>4-Acetamidoantipyrine</t>
  </si>
  <si>
    <t>CC1=C(C(=O)N(N1C)C2=CC=CC=C2)NC=O</t>
  </si>
  <si>
    <t>WSJBSKRPKADYRQ-UHFFFAOYSA-N</t>
  </si>
  <si>
    <t>1672-58-8</t>
  </si>
  <si>
    <t>CAS number</t>
  </si>
  <si>
    <t>OGJPXUAPXNRGGI-UHFFFAOYSA-N</t>
  </si>
  <si>
    <t>CCN1C=C(C(O)=O)C(=O)C2=CC(F)=C(C=C12)N1CCNCC1</t>
  </si>
  <si>
    <t>70458-96-7</t>
  </si>
  <si>
    <t>93413-62-8</t>
  </si>
  <si>
    <t>CN(C)CC(C1=CC=C(C=C1)O)C2(CCCCC2)O</t>
  </si>
  <si>
    <t>KYYIDSXMWOZKMP-UHFFFAOYSA-N</t>
  </si>
  <si>
    <t>CC1COC2=C3N1C=C(C(O)=O)C(=O)C3=CC(F)=C2N1CCN(C)CC1</t>
  </si>
  <si>
    <t>GSDSWSVVBLHKDQ-UHFFFAOYSA-N</t>
  </si>
  <si>
    <t>82419-36-1</t>
  </si>
  <si>
    <t>O=C1NC2=C(C=NN2)C(=O)N1</t>
  </si>
  <si>
    <t>HXNFUBHNUDHIGC-UHFFFAOYSA-N</t>
  </si>
  <si>
    <t>2465-59-0</t>
  </si>
  <si>
    <t>[H][C@@]12[C@@H](O)[C@@]3([H])C(C(=O)C4=C(C=CC=C4O)[C@@]3(C)O)=C(O)[C@]1(O)C(=O)C(C(N)=O)=C(O)[C@H]2N(C)C</t>
  </si>
  <si>
    <t>IWVCMVBTMGNXQD-PXOLEDIWSA-N</t>
  </si>
  <si>
    <t>79-57-2</t>
  </si>
  <si>
    <t>611-59-6</t>
  </si>
  <si>
    <t>QUNWUDVFRNGTCO-UHFFFAOYSA-N</t>
  </si>
  <si>
    <t>CN1C=NC2=C1C(=O)N(C(=O)N2)C</t>
  </si>
  <si>
    <t>BYPFEZZEUUWMEJ-UHFFFAOYSA-N</t>
  </si>
  <si>
    <t>CN1C=NC2=C1C(=O)N(CCCCC(C)=O)C(=O)N2C</t>
  </si>
  <si>
    <t>PXWLVJLKJGVOKE-UHFFFAOYSA-N</t>
  </si>
  <si>
    <t>CC(C)C1=C(C)N(C)N(C1=O)C1=CC=CC=C1</t>
  </si>
  <si>
    <t>479-92-5</t>
  </si>
  <si>
    <t>6493-05-6</t>
  </si>
  <si>
    <t>VMXUWOKSQNHOCA-UHFFFAOYSA-N</t>
  </si>
  <si>
    <t>CNC(NCCSCC1=CC=C(CN(C)C)O1)=C[N+]([O-])=O</t>
  </si>
  <si>
    <t>66357-35-5</t>
  </si>
  <si>
    <t>RXZBMPWDPOLZGW-XMRMVWPWSA-N</t>
  </si>
  <si>
    <t>CC[C@H]1OC(=O)[C@H](C)[C@@H](O[C@H]2C[C@@](C)(OC)[C@@H](O)[C@H](C)O2)[C@H](C)[C@@H](O[C@@H]2O[C@H](C)C[C@@H]([C@H]2O)N(C)C)[C@](C)(O)C[C@@H](C)C(=NOCOCCOC)[C@H](C)[C@@H](O)[C@]1(C)O</t>
  </si>
  <si>
    <t>80214-83-1</t>
  </si>
  <si>
    <t>ZBMZVLHSJCTVON-UHFFFAOYSA-N</t>
  </si>
  <si>
    <t>CC(C)NCC(O)C1=CC=C(NS(C)(=O)=O)C=C1</t>
  </si>
  <si>
    <t>3930-20-9</t>
  </si>
  <si>
    <t>ACTOXUHEUCPTEW-CEUOBAOPSA-N</t>
  </si>
  <si>
    <t>[H][C@@]1(CC[C@@H]([C@@H](C)O1)N(C)C)O[C@H]1\C=C\C=C\C[C@@H](C)OC(=O)C[C@@H](O)[C@H](OC)[C@@H](O[C@]2([H])O[C@H](C)[C@@H](O[C@@]3([H])C[C@@](C)(O)[C@@H](O)[C@H](C)O3)[C@@H]([C@H]2O)N(C)C)[C@@H](CC=O)C[C@H]1C</t>
  </si>
  <si>
    <t>24916-50-5</t>
  </si>
  <si>
    <t>SEEPANYCNGTZFQ-UHFFFAOYSA-N</t>
  </si>
  <si>
    <t>NC1=CC=C(C=C1)S(=O)(=O)NC1=NC=CC=N1</t>
  </si>
  <si>
    <t>68-35-9</t>
  </si>
  <si>
    <t>JLKIGFTWXXRPMT-UHFFFAOYSA-N</t>
  </si>
  <si>
    <t>CC1=CC(NS(=O)(=O)C2=CC=C(N)C=C2)=NO1</t>
  </si>
  <si>
    <t>723-46-6</t>
  </si>
  <si>
    <t>GECHUMIMRBOMGK-UHFFFAOYSA-N</t>
  </si>
  <si>
    <t>NC1=CC=C(C=C1)S(=O)(=O)NC1=CC=CC=N1</t>
  </si>
  <si>
    <t>144-83-2</t>
  </si>
  <si>
    <t>TVYLLZQTGLZFBW-UHFFFAOYSA-N</t>
  </si>
  <si>
    <t>COC1=CC=CC(=C1)C1(O)CCCCC1CN(C)C</t>
  </si>
  <si>
    <t>27203-92-5</t>
  </si>
  <si>
    <t>IEDVJHCEMCRBQM-UHFFFAOYSA-N</t>
  </si>
  <si>
    <t>COC1=CC(CC2=CN=C(N)N=C2N)=CC(OC)=C1OC</t>
  </si>
  <si>
    <t>738-70-5</t>
  </si>
  <si>
    <t>ACWBQPMHZXGDFX-QFIPXVFZSA-N</t>
  </si>
  <si>
    <t>CCCCC(=O)N(CC1=CC=C(C=C1)C1=CC=CC=C1C1=NNN=N1)[C@@H](C(C)C)C(O)=O</t>
  </si>
  <si>
    <t>137862-53-4</t>
  </si>
  <si>
    <t>Number of substances with data (out of 58)</t>
  </si>
  <si>
    <t>PNVNVHUZROJLTJ-UHFFFAOYSA-N</t>
  </si>
  <si>
    <t>COC1=CC=C(C=C1)C(CN(C)C)C1(O)CCCCC1</t>
  </si>
  <si>
    <t>93413-69-5</t>
  </si>
  <si>
    <t>CC1=CN([C@H]2C[C@H](N=[N+]=[N-])[C@@H](CO)O2)C(=O)NC1=O</t>
  </si>
  <si>
    <t>HBOMLICNUCNMMY-XLPZGREQSA-N</t>
  </si>
  <si>
    <t>30516-87-1</t>
  </si>
  <si>
    <t>Molecular weight</t>
  </si>
  <si>
    <r>
      <t>Chauveheid, E., &amp; Scholdis, S. (2019). Removal of pharmaceuticals by a surface water treatment plant. </t>
    </r>
    <r>
      <rPr>
        <i/>
        <sz val="10"/>
        <color rgb="FF222222"/>
        <rFont val="Arial"/>
        <family val="2"/>
      </rPr>
      <t>Water Supply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19</t>
    </r>
    <r>
      <rPr>
        <sz val="10"/>
        <color rgb="FF222222"/>
        <rFont val="Arial"/>
        <family val="2"/>
      </rPr>
      <t>(6), 1793-1801.</t>
    </r>
  </si>
  <si>
    <t>Ofrydopoulou, A., Nannou, C., Evgenidou, E., Christodoulou, A., &amp; Lambropoulou, D. (2022). Assessment of a wide array of organic micropollutants of emerging concern in wastewater treatment plants in Greece: Occurrence, removals, mass loading and potential risks. Science of the Total Environment, 802, 149860.</t>
  </si>
  <si>
    <t>For CAS, SMILES and MW:</t>
  </si>
  <si>
    <t>Drugbank.com</t>
  </si>
  <si>
    <t>PubChem</t>
  </si>
  <si>
    <r>
      <t>Abafe, O. A., Späth, J., Fick, J., Jansson, S., Buckley, C., Stark, A., ... &amp; Martincigh, B. S. (2018). LC-MS/MS determination of antiretroviral drugs in influents and effluents from wastewater treatment plants in KwaZulu-Natal, South Africa.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200</t>
    </r>
    <r>
      <rPr>
        <sz val="10"/>
        <rFont val="Arial"/>
        <family val="2"/>
      </rPr>
      <t>, 660-670.</t>
    </r>
  </si>
  <si>
    <r>
      <t>Abel, C. D., Sharma, S. K., Maeng, S. K., Magic-Knezev, A., Kennedy, M. D., &amp; Amy, G. L. (2013). Fate of bulk organic matter, nitrogen, and pharmaceutically active compounds in batch experiments simulating soil aquifer treatment (SAT) using primary effluent. </t>
    </r>
    <r>
      <rPr>
        <i/>
        <sz val="10"/>
        <rFont val="Arial"/>
        <family val="2"/>
      </rPr>
      <t>Water, Air, &amp; Soil Pollution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224</t>
    </r>
    <r>
      <rPr>
        <sz val="10"/>
        <rFont val="Arial"/>
        <family val="2"/>
      </rPr>
      <t>(7), 1-12.</t>
    </r>
  </si>
  <si>
    <r>
      <t>Castiglioni, S., Bagnati, R., Fanelli, R., Pomati, F., Calamari, D., &amp; Zuccato, E. (2006). Removal of pharmaceuticals in sewage treatment plants in Italy. </t>
    </r>
    <r>
      <rPr>
        <i/>
        <sz val="10"/>
        <rFont val="Arial"/>
        <family val="2"/>
      </rPr>
      <t>Environmental science &amp;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40</t>
    </r>
    <r>
      <rPr>
        <sz val="10"/>
        <rFont val="Arial"/>
        <family val="2"/>
      </rPr>
      <t>(1), 357-363.</t>
    </r>
  </si>
  <si>
    <r>
      <t>Chauveheid, E., &amp; Scholdis, S. (2019). Removal of pharmaceuticals by a surface water treatment plant. </t>
    </r>
    <r>
      <rPr>
        <i/>
        <sz val="10"/>
        <rFont val="Arial"/>
        <family val="2"/>
      </rPr>
      <t>Water Supply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19</t>
    </r>
    <r>
      <rPr>
        <sz val="10"/>
        <rFont val="Arial"/>
        <family val="2"/>
      </rPr>
      <t>(6), 1793-1801.</t>
    </r>
  </si>
  <si>
    <r>
      <t>Gracia-Lor, E., Sancho, J. V., Serrano, R., &amp; Hernández, F. (2012). Occurrence and removal of pharmaceuticals in wastewater treatment plants at the Spanish Mediterranean area of Valencia.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87</t>
    </r>
    <r>
      <rPr>
        <sz val="10"/>
        <rFont val="Arial"/>
        <family val="2"/>
      </rPr>
      <t>(5), 453-462.</t>
    </r>
  </si>
  <si>
    <r>
      <t>Kim, M., Guerra, P., Shah, A., Parsa, M., Alaee, M., &amp; Smyth, S. A. (2014). Removal of pharmaceuticals and personal care products in a membrane bioreactor wastewater treatment plant. </t>
    </r>
    <r>
      <rPr>
        <i/>
        <sz val="10"/>
        <rFont val="Arial"/>
        <family val="2"/>
      </rPr>
      <t>Water science and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69</t>
    </r>
    <r>
      <rPr>
        <sz val="10"/>
        <rFont val="Arial"/>
        <family val="2"/>
      </rPr>
      <t>(11), 2221-2229.</t>
    </r>
  </si>
  <si>
    <r>
      <t>Lin, A. Y. C., Yu, T. H., &amp; Lateef, S. K. (2009). Removal of pharmaceuticals in secondary wastewater treatment processes in Taiwan. </t>
    </r>
    <r>
      <rPr>
        <i/>
        <sz val="10"/>
        <rFont val="Arial"/>
        <family val="2"/>
      </rPr>
      <t>Journal of hazardous materials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167</t>
    </r>
    <r>
      <rPr>
        <sz val="10"/>
        <rFont val="Arial"/>
        <family val="2"/>
      </rPr>
      <t>(1-3), 1163-1169.</t>
    </r>
  </si>
  <si>
    <r>
      <t>Lofrano, G., Libralato, G., Casaburi, A., Siciliano, A., Iannece, P., Guida, M., ... &amp; Carotenuto, M. (2018). Municipal wastewater spiramycin removal by conventional treatments and heterogeneous photocatalysis.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624</t>
    </r>
    <r>
      <rPr>
        <sz val="10"/>
        <rFont val="Arial"/>
        <family val="2"/>
      </rPr>
      <t>, 461-469.</t>
    </r>
  </si>
  <si>
    <r>
      <t>Ottmar, K. J., Colosi, L. M., &amp; Smith, J. A. (2012). Fate and transport of atorvastatin and simvastatin drugs during conventional wastewater treatment.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88</t>
    </r>
    <r>
      <rPr>
        <sz val="10"/>
        <rFont val="Arial"/>
        <family val="2"/>
      </rPr>
      <t>(10), 1184-1189.</t>
    </r>
  </si>
  <si>
    <r>
      <t>Radjenovic, J., Petrovic, M., &amp; Barceló, D. (2007). Analysis of pharmaceuticals in wastewater and removal using a membrane bioreactor. </t>
    </r>
    <r>
      <rPr>
        <i/>
        <sz val="10"/>
        <rFont val="Arial"/>
        <family val="2"/>
      </rPr>
      <t>Analytical and bioanalytical chemistry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387</t>
    </r>
    <r>
      <rPr>
        <sz val="10"/>
        <rFont val="Arial"/>
        <family val="2"/>
      </rPr>
      <t>(4), 1365-1377.</t>
    </r>
  </si>
  <si>
    <r>
      <t>Roberts, P. H., &amp; Thomas, K. V. (2006). The occurrence of selected pharmaceuticals in wastewater effluent and surface waters of the lower Tyne catchment.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356</t>
    </r>
    <r>
      <rPr>
        <sz val="10"/>
        <rFont val="Arial"/>
        <family val="2"/>
      </rPr>
      <t>(1-3), 143-153.</t>
    </r>
  </si>
  <si>
    <r>
      <t>Snyder, S. A., Wert, E. C., Rexing, D. J., Zegers, R. E., &amp; Drury, D. D. (2006). Ozone oxidation of endocrine disruptors and pharmaceuticals in surface water and wastewater. </t>
    </r>
    <r>
      <rPr>
        <i/>
        <sz val="10"/>
        <rFont val="Arial"/>
        <family val="2"/>
      </rPr>
      <t>Ozone: Science and Engineering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28</t>
    </r>
    <r>
      <rPr>
        <sz val="10"/>
        <rFont val="Arial"/>
        <family val="2"/>
      </rPr>
      <t>(6), 445-460.</t>
    </r>
  </si>
  <si>
    <r>
      <t>Van De Steene, J. C., Stove, C. P., &amp; Lambert, W. E. (2010). A field study on 8 pharmaceuticals and 1 pesticide in Belgium: removal rates in waste water treatment plants and occurrence in surface water.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408</t>
    </r>
    <r>
      <rPr>
        <sz val="10"/>
        <rFont val="Arial"/>
        <family val="2"/>
      </rPr>
      <t>(16), 3448-3453.</t>
    </r>
  </si>
  <si>
    <t>Ozonation and AC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</si>
</sst>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7"/>
      <color rgb="FF222222"/>
      <name val="Arial"/>
      <family val="2"/>
    </font>
    <font>
      <i/>
      <sz val="7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D595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0" borderId="0" xfId="0" applyFont="1"/>
    <xf numFmtId="2" fontId="1" fillId="8" borderId="0" xfId="0" applyNumberFormat="1" applyFont="1" applyFill="1"/>
    <xf numFmtId="0" fontId="5" fillId="0" borderId="0" xfId="0" applyFont="1"/>
    <xf numFmtId="0" fontId="7" fillId="0" borderId="0" xfId="0" applyFont="1"/>
    <xf numFmtId="0" fontId="0" fillId="8" borderId="0" xfId="0" applyFont="1" applyFill="1"/>
    <xf numFmtId="2" fontId="0" fillId="8" borderId="0" xfId="0" applyNumberFormat="1" applyFont="1" applyFill="1"/>
    <xf numFmtId="0" fontId="0" fillId="0" borderId="0" xfId="0" applyFill="1"/>
    <xf numFmtId="0" fontId="0" fillId="8" borderId="0" xfId="0" applyFill="1" applyAlignment="1">
      <alignment wrapText="1"/>
    </xf>
    <xf numFmtId="0" fontId="0" fillId="8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ont="1" applyFill="1"/>
    <xf numFmtId="164" fontId="0" fillId="0" borderId="0" xfId="0" applyNumberFormat="1"/>
    <xf numFmtId="164" fontId="2" fillId="0" borderId="0" xfId="0" applyNumberFormat="1" applyFont="1"/>
    <xf numFmtId="49" fontId="1" fillId="8" borderId="0" xfId="0" applyNumberFormat="1" applyFont="1" applyFill="1"/>
    <xf numFmtId="49" fontId="0" fillId="0" borderId="0" xfId="0" applyNumberFormat="1"/>
    <xf numFmtId="49" fontId="1" fillId="0" borderId="0" xfId="0" applyNumberFormat="1" applyFont="1" applyFill="1"/>
    <xf numFmtId="49" fontId="0" fillId="0" borderId="0" xfId="0" applyNumberFormat="1" applyFont="1" applyFill="1"/>
    <xf numFmtId="49" fontId="0" fillId="0" borderId="0" xfId="0" applyNumberFormat="1" applyFill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824D-736F-413C-AAAF-91DA152D59B1}">
  <dimension ref="A1:N97"/>
  <sheetViews>
    <sheetView tabSelected="1" zoomScale="90" zoomScaleNormal="90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22.28515625" bestFit="1" customWidth="1"/>
    <col min="2" max="2" width="33.42578125" customWidth="1"/>
    <col min="3" max="3" width="11.42578125" customWidth="1"/>
    <col min="4" max="4" width="14.42578125" style="25" bestFit="1" customWidth="1"/>
    <col min="5" max="6" width="22.5703125" customWidth="1"/>
    <col min="7" max="7" width="21" bestFit="1" customWidth="1"/>
  </cols>
  <sheetData>
    <row r="1" spans="1:14" x14ac:dyDescent="0.25">
      <c r="A1" s="9" t="s">
        <v>96</v>
      </c>
      <c r="B1" s="9" t="s">
        <v>95</v>
      </c>
      <c r="C1" s="9" t="s">
        <v>224</v>
      </c>
      <c r="D1" s="24" t="s">
        <v>344</v>
      </c>
      <c r="E1" s="9" t="s">
        <v>225</v>
      </c>
      <c r="F1" s="9" t="s">
        <v>256</v>
      </c>
      <c r="G1" s="9" t="s">
        <v>406</v>
      </c>
      <c r="H1" s="8" t="s">
        <v>94</v>
      </c>
      <c r="I1" s="7" t="s">
        <v>93</v>
      </c>
      <c r="J1" s="6" t="s">
        <v>92</v>
      </c>
      <c r="K1" s="5" t="s">
        <v>91</v>
      </c>
      <c r="L1" s="4" t="s">
        <v>90</v>
      </c>
      <c r="M1" s="3" t="s">
        <v>89</v>
      </c>
      <c r="N1" s="29" t="s">
        <v>425</v>
      </c>
    </row>
    <row r="2" spans="1:14" x14ac:dyDescent="0.25">
      <c r="A2" t="s">
        <v>88</v>
      </c>
      <c r="B2" t="s">
        <v>16</v>
      </c>
      <c r="C2" t="s">
        <v>87</v>
      </c>
      <c r="D2" s="25" t="s">
        <v>227</v>
      </c>
      <c r="E2" t="s">
        <v>226</v>
      </c>
      <c r="F2" t="s">
        <v>266</v>
      </c>
      <c r="G2" s="22">
        <v>151.1626</v>
      </c>
      <c r="H2" s="1">
        <f>AVERAGE(2,7.7,0)</f>
        <v>3.2333333333333329</v>
      </c>
      <c r="I2" s="1">
        <f>AVERAGE(90,100,99,95,98.4,99)</f>
        <v>96.899999999999991</v>
      </c>
      <c r="J2" s="1">
        <f>AVERAGE(90,100,93,93)</f>
        <v>94</v>
      </c>
      <c r="K2" s="1">
        <v>99</v>
      </c>
      <c r="L2" s="1">
        <v>85</v>
      </c>
      <c r="M2" s="1">
        <v>100</v>
      </c>
    </row>
    <row r="3" spans="1:14" x14ac:dyDescent="0.25">
      <c r="A3" t="s">
        <v>86</v>
      </c>
      <c r="B3" t="s">
        <v>2</v>
      </c>
      <c r="C3" t="s">
        <v>186</v>
      </c>
      <c r="D3" s="25" t="s">
        <v>229</v>
      </c>
      <c r="E3" t="s">
        <v>228</v>
      </c>
      <c r="F3" t="s">
        <v>267</v>
      </c>
      <c r="G3" s="22">
        <v>369.47899999999998</v>
      </c>
      <c r="H3" s="1"/>
      <c r="I3" s="1">
        <f>AVERAGE(2,0)</f>
        <v>1</v>
      </c>
      <c r="J3" s="1">
        <v>0</v>
      </c>
      <c r="K3" s="1">
        <v>0</v>
      </c>
      <c r="L3" s="1">
        <f>AVERAGE(91,64)</f>
        <v>77.5</v>
      </c>
      <c r="M3" s="1"/>
    </row>
    <row r="4" spans="1:14" x14ac:dyDescent="0.25">
      <c r="A4" t="s">
        <v>85</v>
      </c>
      <c r="B4" t="s">
        <v>56</v>
      </c>
      <c r="C4" t="s">
        <v>187</v>
      </c>
      <c r="D4" s="25" t="s">
        <v>231</v>
      </c>
      <c r="E4" t="s">
        <v>230</v>
      </c>
      <c r="F4" t="s">
        <v>268</v>
      </c>
      <c r="G4" s="22">
        <v>365.404</v>
      </c>
      <c r="H4" s="1">
        <v>14</v>
      </c>
      <c r="I4" s="1">
        <f>AVERAGE(99,49,75)</f>
        <v>74.333333333333329</v>
      </c>
      <c r="J4" s="1"/>
      <c r="K4" s="1">
        <v>99</v>
      </c>
      <c r="L4" s="1">
        <f>AVERAGE(100,95)</f>
        <v>97.5</v>
      </c>
      <c r="M4" s="1">
        <f>AVERAGE(76.8,92)</f>
        <v>84.4</v>
      </c>
    </row>
    <row r="5" spans="1:14" x14ac:dyDescent="0.25">
      <c r="A5" t="s">
        <v>84</v>
      </c>
      <c r="B5" t="s">
        <v>13</v>
      </c>
      <c r="C5" t="s">
        <v>83</v>
      </c>
      <c r="D5" s="25" t="s">
        <v>233</v>
      </c>
      <c r="E5" t="s">
        <v>232</v>
      </c>
      <c r="F5" t="s">
        <v>265</v>
      </c>
      <c r="G5" s="22">
        <v>266.33609999999999</v>
      </c>
      <c r="H5" s="1">
        <v>0</v>
      </c>
      <c r="I5" s="1">
        <f>AVERAGE(42,70,78,7.7,0,36,0,10,55,69)</f>
        <v>36.769999999999996</v>
      </c>
      <c r="J5" s="1">
        <f>AVERAGE(14.4,90,0,0,53,12)</f>
        <v>28.233333333333334</v>
      </c>
      <c r="K5" s="1">
        <f>AVERAGE(65,46,30,0,100,65.5,69)</f>
        <v>53.642857142857146</v>
      </c>
      <c r="L5" s="1">
        <f>AVERAGE(85,70,99,97,23,73,61,99)</f>
        <v>75.875</v>
      </c>
      <c r="M5" s="1">
        <f>AVERAGE(88,99,84,88)</f>
        <v>89.75</v>
      </c>
    </row>
    <row r="6" spans="1:14" x14ac:dyDescent="0.25">
      <c r="A6" t="s">
        <v>82</v>
      </c>
      <c r="B6" t="s">
        <v>0</v>
      </c>
      <c r="C6" t="s">
        <v>188</v>
      </c>
      <c r="D6" s="25" t="s">
        <v>234</v>
      </c>
      <c r="E6" t="s">
        <v>235</v>
      </c>
      <c r="F6" t="s">
        <v>264</v>
      </c>
      <c r="G6" s="22">
        <v>558.63980000000004</v>
      </c>
      <c r="H6" s="1"/>
      <c r="I6" s="1">
        <v>84</v>
      </c>
      <c r="J6" s="1"/>
      <c r="K6" s="1">
        <v>84.6</v>
      </c>
      <c r="L6" s="1"/>
      <c r="M6" s="1"/>
    </row>
    <row r="7" spans="1:14" x14ac:dyDescent="0.25">
      <c r="A7" t="s">
        <v>81</v>
      </c>
      <c r="B7" t="s">
        <v>80</v>
      </c>
      <c r="C7" t="s">
        <v>79</v>
      </c>
      <c r="D7" s="25" t="s">
        <v>237</v>
      </c>
      <c r="E7" t="s">
        <v>236</v>
      </c>
      <c r="F7" t="s">
        <v>263</v>
      </c>
      <c r="G7" s="22">
        <v>748.98450000000003</v>
      </c>
      <c r="H7" s="1">
        <f>AVERAGE(0,27)</f>
        <v>13.5</v>
      </c>
      <c r="I7" s="1">
        <f>AVERAGE(0,44,8,47,0)</f>
        <v>19.8</v>
      </c>
      <c r="J7" s="1"/>
      <c r="K7" s="1">
        <f>AVERAGE(47,5,77.5)</f>
        <v>43.166666666666664</v>
      </c>
      <c r="L7" s="1">
        <f>AVERAGE(74,90,91,99)</f>
        <v>88.5</v>
      </c>
      <c r="M7" s="1">
        <f>AVERAGE(76,100)</f>
        <v>88</v>
      </c>
    </row>
    <row r="8" spans="1:14" x14ac:dyDescent="0.25">
      <c r="A8" t="s">
        <v>78</v>
      </c>
      <c r="B8" t="s">
        <v>34</v>
      </c>
      <c r="C8" t="s">
        <v>189</v>
      </c>
      <c r="D8" s="25" t="s">
        <v>239</v>
      </c>
      <c r="E8" t="s">
        <v>238</v>
      </c>
      <c r="F8" t="s">
        <v>255</v>
      </c>
      <c r="G8" s="22">
        <v>119.12</v>
      </c>
      <c r="H8" s="1" t="s">
        <v>98</v>
      </c>
      <c r="I8" s="1">
        <v>62</v>
      </c>
      <c r="J8" s="1"/>
      <c r="K8" s="1">
        <f>AVERAGE(3,4,39)</f>
        <v>15.333333333333334</v>
      </c>
      <c r="L8" s="1">
        <f>AVERAGE(66,52,99)</f>
        <v>72.333333333333329</v>
      </c>
      <c r="M8" s="1">
        <v>69</v>
      </c>
    </row>
    <row r="9" spans="1:14" x14ac:dyDescent="0.25">
      <c r="A9" t="s">
        <v>77</v>
      </c>
      <c r="B9" t="s">
        <v>76</v>
      </c>
      <c r="C9" t="s">
        <v>75</v>
      </c>
      <c r="D9" s="25" t="s">
        <v>241</v>
      </c>
      <c r="E9" t="s">
        <v>240</v>
      </c>
      <c r="F9" t="s">
        <v>262</v>
      </c>
      <c r="G9" s="22">
        <v>272.38200000000001</v>
      </c>
      <c r="H9" s="1">
        <f>AVERAGE(20,0)</f>
        <v>10</v>
      </c>
      <c r="I9" s="1">
        <f>AVERAGE(48,91)</f>
        <v>69.5</v>
      </c>
      <c r="J9" s="1"/>
      <c r="K9" s="1">
        <v>90</v>
      </c>
      <c r="L9" s="1">
        <v>61</v>
      </c>
      <c r="M9" s="1">
        <v>61</v>
      </c>
    </row>
    <row r="10" spans="1:14" x14ac:dyDescent="0.25">
      <c r="A10" t="s">
        <v>74</v>
      </c>
      <c r="B10" t="s">
        <v>16</v>
      </c>
      <c r="C10" t="s">
        <v>73</v>
      </c>
      <c r="D10" s="25" t="s">
        <v>243</v>
      </c>
      <c r="E10" t="s">
        <v>242</v>
      </c>
      <c r="F10" t="s">
        <v>261</v>
      </c>
      <c r="G10" s="22">
        <v>361.81900000000002</v>
      </c>
      <c r="H10" s="1">
        <v>0</v>
      </c>
      <c r="I10" s="1">
        <f>AVERAGE(69,93,45,68,0,0,0)</f>
        <v>39.285714285714285</v>
      </c>
      <c r="J10" s="1">
        <f>AVERAGE(9.1,38,27,51)</f>
        <v>31.274999999999999</v>
      </c>
      <c r="K10" s="1">
        <f>AVERAGE(76,84)</f>
        <v>80</v>
      </c>
      <c r="L10" s="1">
        <f>AVERAGE(81,62,90,89,77)</f>
        <v>79.8</v>
      </c>
      <c r="M10" s="1">
        <v>79</v>
      </c>
    </row>
    <row r="11" spans="1:14" x14ac:dyDescent="0.25">
      <c r="A11" t="s">
        <v>72</v>
      </c>
      <c r="B11" t="s">
        <v>34</v>
      </c>
      <c r="C11" t="s">
        <v>190</v>
      </c>
      <c r="D11" t="s">
        <v>245</v>
      </c>
      <c r="E11" t="s">
        <v>244</v>
      </c>
      <c r="F11" t="s">
        <v>260</v>
      </c>
      <c r="G11" s="22">
        <v>440.45400000000001</v>
      </c>
      <c r="H11" s="1"/>
      <c r="I11" s="1">
        <v>0</v>
      </c>
      <c r="J11" s="1"/>
      <c r="K11" s="1"/>
      <c r="L11" s="1">
        <v>63</v>
      </c>
      <c r="M11" s="1"/>
    </row>
    <row r="12" spans="1:14" x14ac:dyDescent="0.25">
      <c r="A12" t="s">
        <v>71</v>
      </c>
      <c r="B12" t="s">
        <v>70</v>
      </c>
      <c r="C12" t="s">
        <v>69</v>
      </c>
      <c r="D12" t="s">
        <v>247</v>
      </c>
      <c r="E12" t="s">
        <v>246</v>
      </c>
      <c r="F12" t="s">
        <v>259</v>
      </c>
      <c r="G12" s="22">
        <v>236.26859999999999</v>
      </c>
      <c r="H12" s="1">
        <f>AVERAGE(0,0,38,26,4)</f>
        <v>13.6</v>
      </c>
      <c r="I12" s="1">
        <f>AVERAGE(0,0,7.6,20,0,9,0,10,43,0,0,14)</f>
        <v>8.6333333333333329</v>
      </c>
      <c r="J12" s="1">
        <f>AVERAGE(0,9.5,70,30,36,7)</f>
        <v>25.416666666666668</v>
      </c>
      <c r="K12" s="1">
        <f>AVERAGE(51,74,0,1,59.7,0,9,26,98,0)</f>
        <v>31.869999999999997</v>
      </c>
      <c r="L12" s="1">
        <f>AVERAGE(97,99,99,99,98,99)</f>
        <v>98.5</v>
      </c>
      <c r="M12" s="1">
        <f>AVERAGE(90,99,98)</f>
        <v>95.666666666666671</v>
      </c>
    </row>
    <row r="13" spans="1:14" x14ac:dyDescent="0.25">
      <c r="A13" t="s">
        <v>68</v>
      </c>
      <c r="B13" t="s">
        <v>162</v>
      </c>
      <c r="C13" s="2" t="s">
        <v>67</v>
      </c>
      <c r="D13" t="s">
        <v>249</v>
      </c>
      <c r="E13" t="s">
        <v>248</v>
      </c>
      <c r="F13" t="s">
        <v>258</v>
      </c>
      <c r="G13" s="23">
        <v>331.3415</v>
      </c>
      <c r="H13" s="1">
        <v>0</v>
      </c>
      <c r="I13" s="1">
        <f>AVERAGE(63,73)</f>
        <v>68</v>
      </c>
      <c r="J13" s="1">
        <f>AVERAGE(57,35)</f>
        <v>46</v>
      </c>
      <c r="K13" s="1">
        <f>AVERAGE(91,15,100,69)</f>
        <v>68.75</v>
      </c>
      <c r="L13" s="1">
        <f>AVERAGE(53,100,16,100)</f>
        <v>67.25</v>
      </c>
      <c r="M13" s="1">
        <f>AVERAGE(63,99)</f>
        <v>81</v>
      </c>
    </row>
    <row r="14" spans="1:14" x14ac:dyDescent="0.25">
      <c r="A14" t="s">
        <v>66</v>
      </c>
      <c r="B14" t="s">
        <v>2</v>
      </c>
      <c r="C14" s="2" t="s">
        <v>65</v>
      </c>
      <c r="D14" t="s">
        <v>251</v>
      </c>
      <c r="E14" t="s">
        <v>250</v>
      </c>
      <c r="F14" t="s">
        <v>257</v>
      </c>
      <c r="G14" s="23">
        <v>324.39190000000002</v>
      </c>
      <c r="H14" s="1">
        <v>31</v>
      </c>
      <c r="I14" s="1">
        <f>AVERAGE(0,21)</f>
        <v>10.5</v>
      </c>
      <c r="J14" s="1"/>
      <c r="K14" s="1">
        <v>0</v>
      </c>
      <c r="L14" s="1">
        <f>AVERAGE(91,100)</f>
        <v>95.5</v>
      </c>
      <c r="M14" s="1"/>
    </row>
    <row r="15" spans="1:14" x14ac:dyDescent="0.25">
      <c r="A15" t="s">
        <v>64</v>
      </c>
      <c r="B15" t="s">
        <v>163</v>
      </c>
      <c r="C15" t="s">
        <v>63</v>
      </c>
      <c r="D15" t="s">
        <v>253</v>
      </c>
      <c r="E15" t="s">
        <v>252</v>
      </c>
      <c r="F15" t="s">
        <v>254</v>
      </c>
      <c r="G15" s="22">
        <v>747.95339999999999</v>
      </c>
      <c r="H15" s="1">
        <f>AVERAGE(11,3)</f>
        <v>7</v>
      </c>
      <c r="I15" s="1">
        <f>AVERAGE(0,37,28,45,0,0)</f>
        <v>18.333333333333332</v>
      </c>
      <c r="J15" s="1">
        <v>72.900000000000006</v>
      </c>
      <c r="K15" s="1">
        <f>AVERAGE(27.1,5,98)</f>
        <v>43.366666666666667</v>
      </c>
      <c r="L15" s="1">
        <f>AVERAGE(93,90,100,76,75)</f>
        <v>86.8</v>
      </c>
      <c r="M15" s="1">
        <f>AVERAGE(92,100)</f>
        <v>96</v>
      </c>
    </row>
    <row r="16" spans="1:14" x14ac:dyDescent="0.25">
      <c r="A16" t="s">
        <v>62</v>
      </c>
      <c r="B16" t="s">
        <v>13</v>
      </c>
      <c r="C16" s="2" t="s">
        <v>20</v>
      </c>
      <c r="D16" t="s">
        <v>271</v>
      </c>
      <c r="E16" t="s">
        <v>269</v>
      </c>
      <c r="F16" t="s">
        <v>270</v>
      </c>
      <c r="G16" s="23">
        <v>214.64</v>
      </c>
      <c r="H16" s="1"/>
      <c r="I16" s="1">
        <f>AVERAGE(75,21,29,27.7,30)</f>
        <v>36.54</v>
      </c>
      <c r="J16" s="1">
        <f>AVERAGE(54.2,13)</f>
        <v>33.6</v>
      </c>
      <c r="K16" s="1">
        <f>AVERAGE(20,90,71.8,90)</f>
        <v>67.95</v>
      </c>
      <c r="L16" s="1">
        <f>AVERAGE(99,90,66,50)</f>
        <v>76.25</v>
      </c>
      <c r="M16" s="1">
        <v>90</v>
      </c>
    </row>
    <row r="17" spans="1:13" x14ac:dyDescent="0.25">
      <c r="A17" t="s">
        <v>61</v>
      </c>
      <c r="B17" t="s">
        <v>9</v>
      </c>
      <c r="C17" s="2" t="s">
        <v>191</v>
      </c>
      <c r="D17" t="s">
        <v>274</v>
      </c>
      <c r="E17" t="s">
        <v>273</v>
      </c>
      <c r="F17" t="s">
        <v>272</v>
      </c>
      <c r="G17" s="23">
        <v>344.83699999999999</v>
      </c>
      <c r="H17" s="1" t="s">
        <v>98</v>
      </c>
      <c r="I17" s="1">
        <v>15</v>
      </c>
      <c r="J17" s="1"/>
      <c r="K17" s="1">
        <v>55</v>
      </c>
      <c r="L17" s="1"/>
      <c r="M17" s="1"/>
    </row>
    <row r="18" spans="1:13" x14ac:dyDescent="0.25">
      <c r="A18" t="s">
        <v>60</v>
      </c>
      <c r="B18" t="s">
        <v>13</v>
      </c>
      <c r="C18" t="s">
        <v>59</v>
      </c>
      <c r="D18" t="s">
        <v>277</v>
      </c>
      <c r="E18" t="s">
        <v>275</v>
      </c>
      <c r="F18" t="s">
        <v>276</v>
      </c>
      <c r="G18" s="22">
        <v>299.36419999999998</v>
      </c>
      <c r="H18" s="1"/>
      <c r="I18" s="1">
        <f>AVERAGE(46,46,58)</f>
        <v>50</v>
      </c>
      <c r="J18" s="1">
        <f>AVERAGE(70,0)</f>
        <v>35</v>
      </c>
      <c r="K18" s="1"/>
      <c r="L18" s="1">
        <v>87</v>
      </c>
      <c r="M18" s="1"/>
    </row>
    <row r="19" spans="1:13" x14ac:dyDescent="0.25">
      <c r="A19" t="s">
        <v>105</v>
      </c>
      <c r="B19" t="s">
        <v>13</v>
      </c>
      <c r="C19" t="s">
        <v>192</v>
      </c>
      <c r="D19" t="s">
        <v>280</v>
      </c>
      <c r="E19" t="s">
        <v>278</v>
      </c>
      <c r="F19" t="s">
        <v>279</v>
      </c>
      <c r="G19" s="22">
        <v>261.08600000000001</v>
      </c>
      <c r="H19" s="1"/>
      <c r="I19" s="1">
        <v>30</v>
      </c>
      <c r="J19" s="1"/>
      <c r="K19" s="1">
        <v>0</v>
      </c>
      <c r="L19" s="1">
        <v>33</v>
      </c>
      <c r="M19" s="1">
        <v>41</v>
      </c>
    </row>
    <row r="20" spans="1:13" x14ac:dyDescent="0.25">
      <c r="A20" t="s">
        <v>58</v>
      </c>
      <c r="B20" t="s">
        <v>0</v>
      </c>
      <c r="C20" t="s">
        <v>193</v>
      </c>
      <c r="D20" t="s">
        <v>283</v>
      </c>
      <c r="E20" t="s">
        <v>282</v>
      </c>
      <c r="F20" t="s">
        <v>281</v>
      </c>
      <c r="G20" s="22">
        <v>229.47120000000001</v>
      </c>
      <c r="H20" s="1"/>
      <c r="I20" s="1">
        <v>0</v>
      </c>
      <c r="J20" s="1">
        <v>0</v>
      </c>
      <c r="K20" s="1">
        <v>0</v>
      </c>
      <c r="L20" s="1"/>
      <c r="M20" s="1"/>
    </row>
    <row r="21" spans="1:13" x14ac:dyDescent="0.25">
      <c r="A21" t="s">
        <v>57</v>
      </c>
      <c r="B21" t="s">
        <v>56</v>
      </c>
      <c r="C21" t="s">
        <v>194</v>
      </c>
      <c r="D21" t="s">
        <v>286</v>
      </c>
      <c r="E21" t="s">
        <v>284</v>
      </c>
      <c r="F21" t="s">
        <v>285</v>
      </c>
      <c r="G21" s="22">
        <v>284.74</v>
      </c>
      <c r="H21" s="1"/>
      <c r="I21" s="1">
        <f>AVERAGE(7.3,20)</f>
        <v>13.65</v>
      </c>
      <c r="J21" s="1"/>
      <c r="K21" s="1">
        <f>AVERAGE(0,53)</f>
        <v>26.5</v>
      </c>
      <c r="L21" s="1">
        <v>90</v>
      </c>
      <c r="M21" s="1">
        <v>98</v>
      </c>
    </row>
    <row r="22" spans="1:13" x14ac:dyDescent="0.25">
      <c r="A22" t="s">
        <v>55</v>
      </c>
      <c r="B22" t="s">
        <v>164</v>
      </c>
      <c r="C22" s="2" t="s">
        <v>54</v>
      </c>
      <c r="D22" t="s">
        <v>289</v>
      </c>
      <c r="E22" t="s">
        <v>288</v>
      </c>
      <c r="F22" t="s">
        <v>287</v>
      </c>
      <c r="G22" s="23">
        <v>296.149</v>
      </c>
      <c r="H22" s="1">
        <f>AVERAGE(0,0.7,12,60,0)</f>
        <v>14.540000000000001</v>
      </c>
      <c r="I22" s="1">
        <f>AVERAGE(82,20,9,59,32,22,50.1,0,29)</f>
        <v>33.677777777777777</v>
      </c>
      <c r="J22" s="1">
        <f>AVERAGE(22,8,4,25)</f>
        <v>14.75</v>
      </c>
      <c r="K22" s="1">
        <f>AVERAGE(100,0,47,70,87.4,78,78,98,0)</f>
        <v>62.044444444444444</v>
      </c>
      <c r="L22" s="1">
        <f>AVERAGE(94,90,99,100,94,96,95)</f>
        <v>95.428571428571431</v>
      </c>
      <c r="M22" s="1">
        <f>AVERAGE(69,99,98,99,22)</f>
        <v>77.400000000000006</v>
      </c>
    </row>
    <row r="23" spans="1:13" x14ac:dyDescent="0.25">
      <c r="A23" t="s">
        <v>53</v>
      </c>
      <c r="B23" t="s">
        <v>165</v>
      </c>
      <c r="C23" s="2" t="s">
        <v>52</v>
      </c>
      <c r="D23" t="s">
        <v>291</v>
      </c>
      <c r="E23" t="s">
        <v>290</v>
      </c>
      <c r="F23" t="s">
        <v>292</v>
      </c>
      <c r="G23" s="23">
        <v>733.92679999999996</v>
      </c>
      <c r="H23" s="1">
        <v>0</v>
      </c>
      <c r="I23" s="1">
        <f>AVERAGE(25,14,23.8,24,0,0,90)</f>
        <v>25.25714285714286</v>
      </c>
      <c r="J23" s="1">
        <v>4.3</v>
      </c>
      <c r="K23" s="1">
        <f>AVERAGE(3,31,67.3)</f>
        <v>33.766666666666666</v>
      </c>
      <c r="L23" s="1">
        <f>AVERAGE(87,93,92)</f>
        <v>90.666666666666671</v>
      </c>
      <c r="M23" s="1">
        <f>AVERAGE(88,25)</f>
        <v>56.5</v>
      </c>
    </row>
    <row r="24" spans="1:13" x14ac:dyDescent="0.25">
      <c r="A24" t="s">
        <v>51</v>
      </c>
      <c r="B24" t="s">
        <v>0</v>
      </c>
      <c r="C24" s="2" t="s">
        <v>50</v>
      </c>
      <c r="D24" t="s">
        <v>295</v>
      </c>
      <c r="E24" t="s">
        <v>293</v>
      </c>
      <c r="F24" t="s">
        <v>294</v>
      </c>
      <c r="G24" s="23">
        <v>288.38139999999999</v>
      </c>
      <c r="H24" s="1">
        <v>0</v>
      </c>
      <c r="I24" s="1">
        <f>AVERAGE(75,90)</f>
        <v>82.5</v>
      </c>
      <c r="J24" s="1"/>
      <c r="K24" s="1">
        <v>99</v>
      </c>
      <c r="L24" s="1">
        <v>90</v>
      </c>
      <c r="M24" s="1">
        <v>98</v>
      </c>
    </row>
    <row r="25" spans="1:13" x14ac:dyDescent="0.25">
      <c r="A25" t="s">
        <v>49</v>
      </c>
      <c r="B25" t="s">
        <v>48</v>
      </c>
      <c r="C25" s="2" t="s">
        <v>47</v>
      </c>
      <c r="D25" t="s">
        <v>298</v>
      </c>
      <c r="E25" t="s">
        <v>296</v>
      </c>
      <c r="F25" t="s">
        <v>297</v>
      </c>
      <c r="G25" s="23">
        <v>270.36610000000002</v>
      </c>
      <c r="H25" s="1">
        <f>AVERAGE(0,7,0)</f>
        <v>2.3333333333333335</v>
      </c>
      <c r="I25" s="1">
        <f>AVERAGE(0,58,74,74.1,0,0,96)</f>
        <v>43.157142857142858</v>
      </c>
      <c r="J25" s="1"/>
      <c r="K25" s="1">
        <f>AVERAGE(99,66,97)</f>
        <v>87.333333333333329</v>
      </c>
      <c r="L25" s="1">
        <f>AVERAGE(90,98,80)</f>
        <v>89.333333333333329</v>
      </c>
      <c r="M25" s="1">
        <f>AVERAGE(92,99,97)</f>
        <v>96</v>
      </c>
    </row>
    <row r="26" spans="1:13" x14ac:dyDescent="0.25">
      <c r="A26" t="s">
        <v>101</v>
      </c>
      <c r="B26" t="s">
        <v>0</v>
      </c>
      <c r="C26" s="2" t="s">
        <v>195</v>
      </c>
      <c r="D26" t="s">
        <v>301</v>
      </c>
      <c r="E26" t="s">
        <v>299</v>
      </c>
      <c r="F26" t="s">
        <v>300</v>
      </c>
      <c r="G26" s="23">
        <v>296.40339999999998</v>
      </c>
      <c r="H26" s="1">
        <f>AVERAGE(0,27)</f>
        <v>13.5</v>
      </c>
      <c r="I26" s="1">
        <f>AVERAGE(18,67)</f>
        <v>42.5</v>
      </c>
      <c r="J26" s="1"/>
      <c r="K26" s="1">
        <v>96</v>
      </c>
      <c r="L26" s="1">
        <v>90</v>
      </c>
      <c r="M26" s="1"/>
    </row>
    <row r="27" spans="1:13" x14ac:dyDescent="0.25">
      <c r="A27" t="s">
        <v>46</v>
      </c>
      <c r="B27" t="s">
        <v>9</v>
      </c>
      <c r="C27" s="2" t="s">
        <v>196</v>
      </c>
      <c r="D27" t="s">
        <v>304</v>
      </c>
      <c r="E27" t="s">
        <v>303</v>
      </c>
      <c r="F27" t="s">
        <v>302</v>
      </c>
      <c r="G27" s="23">
        <v>306.27080000000001</v>
      </c>
      <c r="H27" s="1"/>
      <c r="I27" s="1">
        <v>15</v>
      </c>
      <c r="J27" s="1"/>
      <c r="K27" s="1">
        <f>AVERAGE(1,0)</f>
        <v>0.5</v>
      </c>
      <c r="L27" s="1">
        <f>AVERAGE(27,27,26)</f>
        <v>26.666666666666668</v>
      </c>
      <c r="M27" s="1">
        <f>AVERAGE(64,87)</f>
        <v>75.5</v>
      </c>
    </row>
    <row r="28" spans="1:13" x14ac:dyDescent="0.25">
      <c r="A28" t="s">
        <v>45</v>
      </c>
      <c r="B28" t="s">
        <v>0</v>
      </c>
      <c r="C28" t="s">
        <v>44</v>
      </c>
      <c r="D28" t="s">
        <v>307</v>
      </c>
      <c r="E28" t="s">
        <v>305</v>
      </c>
      <c r="F28" t="s">
        <v>306</v>
      </c>
      <c r="G28">
        <v>309.3261</v>
      </c>
      <c r="H28" s="1"/>
      <c r="I28" s="1">
        <f>AVERAGE(95,0,47,0)</f>
        <v>35.5</v>
      </c>
      <c r="J28" s="1">
        <v>61.9</v>
      </c>
      <c r="K28" s="1">
        <f>AVERAGE(0,80.9,70)</f>
        <v>50.300000000000004</v>
      </c>
      <c r="L28" s="1">
        <v>99</v>
      </c>
      <c r="M28" s="1">
        <v>99</v>
      </c>
    </row>
    <row r="29" spans="1:13" x14ac:dyDescent="0.25">
      <c r="A29" t="s">
        <v>43</v>
      </c>
      <c r="B29" t="s">
        <v>4</v>
      </c>
      <c r="C29" t="s">
        <v>197</v>
      </c>
      <c r="D29" t="s">
        <v>310</v>
      </c>
      <c r="E29" t="s">
        <v>308</v>
      </c>
      <c r="F29" t="s">
        <v>309</v>
      </c>
      <c r="G29">
        <v>171.23679999999999</v>
      </c>
      <c r="H29" s="1"/>
      <c r="I29" s="1">
        <f>AVERAGE(9.2,37,0)</f>
        <v>15.4</v>
      </c>
      <c r="J29" s="1"/>
      <c r="K29" s="1">
        <f>AVERAGE(0,81)</f>
        <v>40.5</v>
      </c>
      <c r="L29" s="1">
        <f>AVERAGE(38,44,47,100)</f>
        <v>57.25</v>
      </c>
      <c r="M29" s="1">
        <f>AVERAGE(11.8,23)</f>
        <v>17.399999999999999</v>
      </c>
    </row>
    <row r="30" spans="1:13" x14ac:dyDescent="0.25">
      <c r="A30" t="s">
        <v>42</v>
      </c>
      <c r="B30" t="s">
        <v>13</v>
      </c>
      <c r="C30" t="s">
        <v>41</v>
      </c>
      <c r="D30" t="s">
        <v>313</v>
      </c>
      <c r="E30" t="s">
        <v>311</v>
      </c>
      <c r="F30" t="s">
        <v>312</v>
      </c>
      <c r="G30">
        <v>250.33340000000001</v>
      </c>
      <c r="H30" s="1">
        <v>0</v>
      </c>
      <c r="I30" s="1">
        <f>AVERAGE(36,52,38.8,0)</f>
        <v>31.7</v>
      </c>
      <c r="J30" s="1">
        <f>AVERAGE(76,75)</f>
        <v>75.5</v>
      </c>
      <c r="K30" s="1">
        <f>AVERAGE(20,55,99,80,89.6)</f>
        <v>68.72</v>
      </c>
      <c r="L30" s="1">
        <f>AVERAGE(94,90,99)</f>
        <v>94.333333333333329</v>
      </c>
      <c r="M30" s="1">
        <f>AVERAGE(76,99,99)</f>
        <v>91.333333333333329</v>
      </c>
    </row>
    <row r="31" spans="1:13" x14ac:dyDescent="0.25">
      <c r="A31" t="s">
        <v>40</v>
      </c>
      <c r="B31" t="s">
        <v>32</v>
      </c>
      <c r="C31" t="s">
        <v>39</v>
      </c>
      <c r="D31" t="s">
        <v>316</v>
      </c>
      <c r="E31" t="s">
        <v>315</v>
      </c>
      <c r="F31" t="s">
        <v>314</v>
      </c>
      <c r="G31">
        <v>297.73899999999998</v>
      </c>
      <c r="H31" s="1">
        <v>0</v>
      </c>
      <c r="I31" s="1">
        <f>AVERAGE(0,76.3,0,30,0)</f>
        <v>21.259999999999998</v>
      </c>
      <c r="J31" s="1">
        <v>53.2</v>
      </c>
      <c r="K31" s="1">
        <f>AVERAGE(0,14)</f>
        <v>7</v>
      </c>
      <c r="L31" s="1">
        <f>AVERAGE(86,98)</f>
        <v>92</v>
      </c>
      <c r="M31" s="1">
        <v>88</v>
      </c>
    </row>
    <row r="32" spans="1:13" x14ac:dyDescent="0.25">
      <c r="A32" t="s">
        <v>317</v>
      </c>
      <c r="B32" t="s">
        <v>34</v>
      </c>
      <c r="C32" t="s">
        <v>38</v>
      </c>
      <c r="D32" t="s">
        <v>320</v>
      </c>
      <c r="E32" t="s">
        <v>318</v>
      </c>
      <c r="F32" t="s">
        <v>319</v>
      </c>
      <c r="G32">
        <v>428.52940000000001</v>
      </c>
      <c r="H32" s="1"/>
      <c r="I32" s="1">
        <v>0</v>
      </c>
      <c r="J32" s="1"/>
      <c r="K32" s="1">
        <v>0</v>
      </c>
      <c r="L32" s="1">
        <f>AVERAGE(57,40,27)</f>
        <v>41.333333333333336</v>
      </c>
      <c r="M32" s="1">
        <v>99</v>
      </c>
    </row>
    <row r="33" spans="1:13" x14ac:dyDescent="0.25">
      <c r="A33" t="s">
        <v>37</v>
      </c>
      <c r="B33" t="s">
        <v>13</v>
      </c>
      <c r="C33" t="s">
        <v>36</v>
      </c>
      <c r="D33" t="s">
        <v>323</v>
      </c>
      <c r="E33" t="s">
        <v>322</v>
      </c>
      <c r="F33" t="s">
        <v>321</v>
      </c>
      <c r="G33">
        <v>206.2808</v>
      </c>
      <c r="H33" s="1">
        <f>AVERAGE(0,14.57,47,90,0)</f>
        <v>30.314</v>
      </c>
      <c r="I33" s="1">
        <f>AVERAGE(70,57,72,25,0,79,95)</f>
        <v>56.857142857142854</v>
      </c>
      <c r="J33" s="1">
        <f>AVERAGE(95,96,12,92)</f>
        <v>73.75</v>
      </c>
      <c r="K33" s="1">
        <f>AVERAGE(20,49,98,99.8,4,43)</f>
        <v>52.300000000000004</v>
      </c>
      <c r="L33" s="1">
        <f>AVERAGE(63,90,83,92,80,48)</f>
        <v>76</v>
      </c>
      <c r="M33" s="1">
        <f>AVERAGE(83,92)</f>
        <v>87.5</v>
      </c>
    </row>
    <row r="34" spans="1:13" x14ac:dyDescent="0.25">
      <c r="A34" t="s">
        <v>35</v>
      </c>
      <c r="B34" t="s">
        <v>13</v>
      </c>
      <c r="C34" t="s">
        <v>198</v>
      </c>
      <c r="D34" t="s">
        <v>326</v>
      </c>
      <c r="E34" t="s">
        <v>325</v>
      </c>
      <c r="F34" t="s">
        <v>324</v>
      </c>
      <c r="G34">
        <v>406.54</v>
      </c>
      <c r="H34" s="1">
        <f>AVERAGE(8,0)</f>
        <v>4</v>
      </c>
      <c r="I34" s="1">
        <f>AVERAGE(21,0,0,0,0,0)</f>
        <v>3.5</v>
      </c>
      <c r="J34" s="1">
        <f>AVERAGE(38,56.5)</f>
        <v>47.25</v>
      </c>
      <c r="K34" s="1">
        <v>83.6</v>
      </c>
      <c r="L34" s="1">
        <v>100</v>
      </c>
      <c r="M34" s="1"/>
    </row>
    <row r="35" spans="1:13" x14ac:dyDescent="0.25">
      <c r="A35" t="s">
        <v>33</v>
      </c>
      <c r="B35" t="s">
        <v>32</v>
      </c>
      <c r="C35" t="s">
        <v>199</v>
      </c>
      <c r="D35" t="s">
        <v>329</v>
      </c>
      <c r="E35" t="s">
        <v>328</v>
      </c>
      <c r="F35" t="s">
        <v>327</v>
      </c>
      <c r="G35">
        <v>267.3639</v>
      </c>
      <c r="H35" s="1">
        <v>11</v>
      </c>
      <c r="I35" s="1">
        <f>AVERAGE(0,4.6,37,8,0)</f>
        <v>9.92</v>
      </c>
      <c r="J35" s="1">
        <f>AVERAGE(11,6.5)</f>
        <v>8.75</v>
      </c>
      <c r="K35" s="1">
        <f>AVERAGE(55,58.7,0)</f>
        <v>37.9</v>
      </c>
      <c r="L35" s="1">
        <f>AVERAGE(88,75,97,95,78,100)</f>
        <v>88.833333333333329</v>
      </c>
      <c r="M35" s="1">
        <f>AVERAGE(95,98)</f>
        <v>96.5</v>
      </c>
    </row>
    <row r="36" spans="1:13" x14ac:dyDescent="0.25">
      <c r="A36" t="s">
        <v>31</v>
      </c>
      <c r="B36" t="s">
        <v>9</v>
      </c>
      <c r="C36" t="s">
        <v>200</v>
      </c>
      <c r="D36" t="s">
        <v>332</v>
      </c>
      <c r="E36" t="s">
        <v>331</v>
      </c>
      <c r="F36" t="s">
        <v>330</v>
      </c>
      <c r="G36">
        <v>416.12900000000002</v>
      </c>
      <c r="H36" s="1" t="s">
        <v>98</v>
      </c>
      <c r="I36" s="1">
        <f>AVERAGE(84.4,47.8,0)</f>
        <v>44.066666666666663</v>
      </c>
      <c r="J36" s="1"/>
      <c r="K36" s="1">
        <v>99</v>
      </c>
      <c r="L36" s="1"/>
      <c r="M36" s="1"/>
    </row>
    <row r="37" spans="1:13" x14ac:dyDescent="0.25">
      <c r="A37" t="s">
        <v>340</v>
      </c>
      <c r="B37" t="s">
        <v>0</v>
      </c>
      <c r="C37" t="s">
        <v>20</v>
      </c>
      <c r="D37" t="s">
        <v>333</v>
      </c>
      <c r="E37" t="s">
        <v>334</v>
      </c>
      <c r="F37" t="s">
        <v>335</v>
      </c>
      <c r="G37">
        <v>245.28</v>
      </c>
      <c r="H37" s="1"/>
      <c r="I37" s="1">
        <f>AVERAGE(0,60)</f>
        <v>30</v>
      </c>
      <c r="J37" s="1">
        <v>46.1</v>
      </c>
      <c r="K37" s="1"/>
      <c r="L37" s="1">
        <v>98</v>
      </c>
      <c r="M37" s="1">
        <v>34</v>
      </c>
    </row>
    <row r="38" spans="1:13" x14ac:dyDescent="0.25">
      <c r="A38" t="s">
        <v>30</v>
      </c>
      <c r="B38" t="s">
        <v>13</v>
      </c>
      <c r="C38" t="s">
        <v>29</v>
      </c>
      <c r="D38" t="s">
        <v>338</v>
      </c>
      <c r="E38" t="s">
        <v>337</v>
      </c>
      <c r="F38" t="s">
        <v>336</v>
      </c>
      <c r="G38">
        <v>230.25919999999999</v>
      </c>
      <c r="H38" s="1">
        <f>AVERAGE(60,0)</f>
        <v>30</v>
      </c>
      <c r="I38" s="1">
        <f>AVERAGE(41,56,55,91)</f>
        <v>60.75</v>
      </c>
      <c r="J38" s="1">
        <f>AVERAGE(60.9,93,10,69)</f>
        <v>58.225000000000001</v>
      </c>
      <c r="K38" s="1">
        <f>AVERAGE(0,70,94,99,41,62,100)</f>
        <v>66.571428571428569</v>
      </c>
      <c r="L38" s="1">
        <f>AVERAGE(90,99,50,100)</f>
        <v>84.75</v>
      </c>
      <c r="M38" s="1">
        <f>AVERAGE(81,99)</f>
        <v>90</v>
      </c>
    </row>
    <row r="39" spans="1:13" x14ac:dyDescent="0.25">
      <c r="A39" t="s">
        <v>339</v>
      </c>
      <c r="B39" t="s">
        <v>0</v>
      </c>
      <c r="C39" t="s">
        <v>20</v>
      </c>
      <c r="D39" t="s">
        <v>343</v>
      </c>
      <c r="E39" t="s">
        <v>341</v>
      </c>
      <c r="F39" t="s">
        <v>342</v>
      </c>
      <c r="G39">
        <v>231.25</v>
      </c>
      <c r="H39" s="1"/>
      <c r="I39" s="1">
        <f>AVERAGE(0,45)</f>
        <v>22.5</v>
      </c>
      <c r="J39" s="1">
        <v>68.2</v>
      </c>
      <c r="K39" s="1"/>
      <c r="L39" s="1">
        <v>57</v>
      </c>
      <c r="M39" s="1">
        <v>78</v>
      </c>
    </row>
    <row r="40" spans="1:13" x14ac:dyDescent="0.25">
      <c r="A40" t="s">
        <v>28</v>
      </c>
      <c r="B40" t="s">
        <v>0</v>
      </c>
      <c r="C40" t="s">
        <v>201</v>
      </c>
      <c r="D40" t="s">
        <v>347</v>
      </c>
      <c r="E40" t="s">
        <v>346</v>
      </c>
      <c r="F40" t="s">
        <v>345</v>
      </c>
      <c r="G40">
        <v>319.33080000000001</v>
      </c>
      <c r="H40" s="1">
        <v>0</v>
      </c>
      <c r="I40" s="1">
        <f>AVERAGE(88,76)</f>
        <v>82</v>
      </c>
      <c r="J40" s="1">
        <v>0</v>
      </c>
      <c r="K40" s="1">
        <f>AVERAGE(88.7,14,91,85,100,84)</f>
        <v>77.11666666666666</v>
      </c>
      <c r="L40" s="1">
        <f>AVERAGE(75,99,100)</f>
        <v>91.333333333333329</v>
      </c>
      <c r="M40" s="1">
        <f>AVERAGE(82,99)</f>
        <v>90.5</v>
      </c>
    </row>
    <row r="41" spans="1:13" x14ac:dyDescent="0.25">
      <c r="A41" t="s">
        <v>27</v>
      </c>
      <c r="B41" t="s">
        <v>9</v>
      </c>
      <c r="C41" t="s">
        <v>20</v>
      </c>
      <c r="D41" t="s">
        <v>348</v>
      </c>
      <c r="E41" t="s">
        <v>349</v>
      </c>
      <c r="F41" t="s">
        <v>350</v>
      </c>
      <c r="G41" s="22">
        <v>263.37</v>
      </c>
      <c r="H41" s="1"/>
      <c r="I41" s="1">
        <v>61</v>
      </c>
      <c r="J41" s="1"/>
      <c r="K41" s="1"/>
      <c r="L41" s="1">
        <f>AVERAGE(96,85)</f>
        <v>90.5</v>
      </c>
      <c r="M41" s="1">
        <v>83</v>
      </c>
    </row>
    <row r="42" spans="1:13" x14ac:dyDescent="0.25">
      <c r="A42" t="s">
        <v>26</v>
      </c>
      <c r="B42" t="s">
        <v>25</v>
      </c>
      <c r="C42" s="2" t="s">
        <v>24</v>
      </c>
      <c r="D42" t="s">
        <v>353</v>
      </c>
      <c r="E42" t="s">
        <v>351</v>
      </c>
      <c r="F42" t="s">
        <v>352</v>
      </c>
      <c r="G42" s="23">
        <v>361.36750000000001</v>
      </c>
      <c r="H42" s="1">
        <v>5</v>
      </c>
      <c r="I42" s="1">
        <f>AVERAGE(0,23.8,50,18)</f>
        <v>22.95</v>
      </c>
      <c r="J42" s="1">
        <f>AVERAGE(64.1,0,99)</f>
        <v>54.366666666666667</v>
      </c>
      <c r="K42" s="1">
        <f>AVERAGE(81.6,82.8,94,86,100)</f>
        <v>88.88</v>
      </c>
      <c r="L42" s="1">
        <v>100</v>
      </c>
      <c r="M42" s="1"/>
    </row>
    <row r="43" spans="1:13" x14ac:dyDescent="0.25">
      <c r="A43" t="s">
        <v>23</v>
      </c>
      <c r="B43" t="s">
        <v>4</v>
      </c>
      <c r="C43" t="s">
        <v>20</v>
      </c>
      <c r="D43" t="s">
        <v>356</v>
      </c>
      <c r="E43" t="s">
        <v>354</v>
      </c>
      <c r="F43" t="s">
        <v>355</v>
      </c>
      <c r="G43" s="22">
        <v>152.11089999999999</v>
      </c>
      <c r="H43" s="1"/>
      <c r="I43" s="1"/>
      <c r="J43" s="1"/>
      <c r="K43" s="1"/>
      <c r="L43" s="1">
        <f>AVERAGE(86,90)</f>
        <v>88</v>
      </c>
      <c r="M43" s="1">
        <v>80</v>
      </c>
    </row>
    <row r="44" spans="1:13" x14ac:dyDescent="0.25">
      <c r="A44" t="s">
        <v>22</v>
      </c>
      <c r="B44" t="s">
        <v>0</v>
      </c>
      <c r="C44" t="s">
        <v>202</v>
      </c>
      <c r="D44" t="s">
        <v>359</v>
      </c>
      <c r="E44" t="s">
        <v>357</v>
      </c>
      <c r="F44" t="s">
        <v>358</v>
      </c>
      <c r="G44" s="22">
        <v>460.43400000000003</v>
      </c>
      <c r="H44" s="1">
        <v>8</v>
      </c>
      <c r="I44" s="1">
        <v>64</v>
      </c>
      <c r="J44" s="1">
        <v>80.400000000000006</v>
      </c>
      <c r="K44" s="1">
        <f>AVERAGE(95.3,99,100)</f>
        <v>98.100000000000009</v>
      </c>
      <c r="L44" s="1">
        <v>100</v>
      </c>
      <c r="M44" s="1">
        <v>99</v>
      </c>
    </row>
    <row r="45" spans="1:13" x14ac:dyDescent="0.25">
      <c r="A45" t="s">
        <v>21</v>
      </c>
      <c r="B45" t="s">
        <v>0</v>
      </c>
      <c r="C45" t="s">
        <v>20</v>
      </c>
      <c r="D45" t="s">
        <v>360</v>
      </c>
      <c r="E45" t="s">
        <v>362</v>
      </c>
      <c r="F45" t="s">
        <v>361</v>
      </c>
      <c r="G45" s="22">
        <v>180.16</v>
      </c>
      <c r="H45" s="1"/>
      <c r="I45" s="1">
        <v>99</v>
      </c>
      <c r="J45" s="1">
        <v>96.9</v>
      </c>
      <c r="K45" s="1">
        <v>100</v>
      </c>
      <c r="L45" s="1"/>
      <c r="M45" s="1"/>
    </row>
    <row r="46" spans="1:13" x14ac:dyDescent="0.25">
      <c r="A46" t="s">
        <v>19</v>
      </c>
      <c r="B46" t="s">
        <v>0</v>
      </c>
      <c r="C46" t="s">
        <v>203</v>
      </c>
      <c r="D46" t="s">
        <v>368</v>
      </c>
      <c r="E46" t="s">
        <v>364</v>
      </c>
      <c r="F46" t="s">
        <v>363</v>
      </c>
      <c r="G46" s="22">
        <v>278.30700000000002</v>
      </c>
      <c r="H46" s="1">
        <v>5.7</v>
      </c>
      <c r="I46" s="1">
        <f>AVERAGE(0,52)</f>
        <v>26</v>
      </c>
      <c r="J46" s="1">
        <v>85</v>
      </c>
      <c r="K46" s="1">
        <v>52</v>
      </c>
      <c r="L46" s="1">
        <f>AVERAGE(100,95)</f>
        <v>97.5</v>
      </c>
      <c r="M46" s="1"/>
    </row>
    <row r="47" spans="1:13" x14ac:dyDescent="0.25">
      <c r="A47" t="s">
        <v>18</v>
      </c>
      <c r="B47" t="s">
        <v>0</v>
      </c>
      <c r="C47" t="s">
        <v>204</v>
      </c>
      <c r="D47" t="s">
        <v>367</v>
      </c>
      <c r="E47" t="s">
        <v>366</v>
      </c>
      <c r="F47" t="s">
        <v>365</v>
      </c>
      <c r="G47" s="22">
        <v>230.31100000000001</v>
      </c>
      <c r="H47" s="1"/>
      <c r="I47" s="1">
        <f>AVERAGE(0,42.7)</f>
        <v>21.35</v>
      </c>
      <c r="J47" s="1"/>
      <c r="K47" s="1">
        <f>AVERAGE(100,64.6)</f>
        <v>82.3</v>
      </c>
      <c r="L47" s="1"/>
      <c r="M47" s="1">
        <v>100</v>
      </c>
    </row>
    <row r="48" spans="1:13" x14ac:dyDescent="0.25">
      <c r="A48" t="s">
        <v>17</v>
      </c>
      <c r="B48" t="s">
        <v>16</v>
      </c>
      <c r="C48" t="s">
        <v>205</v>
      </c>
      <c r="D48" t="s">
        <v>371</v>
      </c>
      <c r="E48" t="s">
        <v>370</v>
      </c>
      <c r="F48" t="s">
        <v>369</v>
      </c>
      <c r="G48" s="22">
        <v>314.39999999999998</v>
      </c>
      <c r="H48" s="1"/>
      <c r="I48" s="1">
        <f>AVERAGE(66,0,42.2,39)</f>
        <v>36.799999999999997</v>
      </c>
      <c r="J48" s="1">
        <v>31.2</v>
      </c>
      <c r="K48" s="1">
        <f>AVERAGE(41,95,67)</f>
        <v>67.666666666666671</v>
      </c>
      <c r="L48" s="1">
        <f>AVERAGE(98,53)</f>
        <v>75.5</v>
      </c>
      <c r="M48" s="1">
        <v>96</v>
      </c>
    </row>
    <row r="49" spans="1:14" x14ac:dyDescent="0.25">
      <c r="A49" t="s">
        <v>15</v>
      </c>
      <c r="B49" t="s">
        <v>0</v>
      </c>
      <c r="C49" t="s">
        <v>206</v>
      </c>
      <c r="D49" t="s">
        <v>374</v>
      </c>
      <c r="E49" t="s">
        <v>373</v>
      </c>
      <c r="F49" t="s">
        <v>372</v>
      </c>
      <c r="G49" s="22">
        <v>837.04650000000004</v>
      </c>
      <c r="H49" s="1">
        <v>3</v>
      </c>
      <c r="I49" s="1">
        <f>AVERAGE(0,37,0)</f>
        <v>12.333333333333334</v>
      </c>
      <c r="J49" s="1">
        <f>AVERAGE(50.8,100)</f>
        <v>75.400000000000006</v>
      </c>
      <c r="K49" s="1">
        <f>AVERAGE(7,94,82,99,14)</f>
        <v>59.2</v>
      </c>
      <c r="L49" s="1">
        <f>AVERAGE(90,91,83)</f>
        <v>88</v>
      </c>
      <c r="M49" s="1">
        <v>99</v>
      </c>
    </row>
    <row r="50" spans="1:14" x14ac:dyDescent="0.25">
      <c r="A50" t="s">
        <v>14</v>
      </c>
      <c r="B50" t="s">
        <v>13</v>
      </c>
      <c r="C50" t="s">
        <v>207</v>
      </c>
      <c r="D50" t="s">
        <v>377</v>
      </c>
      <c r="E50" t="s">
        <v>376</v>
      </c>
      <c r="F50" t="s">
        <v>375</v>
      </c>
      <c r="G50" s="22">
        <v>272.36399999999998</v>
      </c>
      <c r="H50" s="1">
        <v>0</v>
      </c>
      <c r="I50" s="1">
        <v>23</v>
      </c>
      <c r="J50" s="1">
        <f>AVERAGE(0,4,52,5)</f>
        <v>15.25</v>
      </c>
      <c r="K50" s="1">
        <f>AVERAGE(24,11)</f>
        <v>17.5</v>
      </c>
      <c r="L50" s="1">
        <f>AVERAGE(94,99,96,96,96)</f>
        <v>96.2</v>
      </c>
      <c r="M50" s="1">
        <f>AVERAGE(81,99,91)</f>
        <v>90.333333333333329</v>
      </c>
    </row>
    <row r="51" spans="1:14" x14ac:dyDescent="0.25">
      <c r="A51" t="s">
        <v>12</v>
      </c>
      <c r="B51" t="s">
        <v>0</v>
      </c>
      <c r="C51" t="s">
        <v>208</v>
      </c>
      <c r="D51" t="s">
        <v>380</v>
      </c>
      <c r="E51" t="s">
        <v>379</v>
      </c>
      <c r="F51" t="s">
        <v>378</v>
      </c>
      <c r="G51" s="22">
        <v>843.06500000000005</v>
      </c>
      <c r="H51" s="1"/>
      <c r="I51" s="1">
        <v>0</v>
      </c>
      <c r="J51" s="1">
        <f>AVERAGE(9,99)</f>
        <v>54</v>
      </c>
      <c r="K51" s="1">
        <v>99</v>
      </c>
      <c r="L51" s="1"/>
      <c r="M51" s="1"/>
    </row>
    <row r="52" spans="1:14" x14ac:dyDescent="0.25">
      <c r="A52" t="s">
        <v>11</v>
      </c>
      <c r="B52" t="s">
        <v>0</v>
      </c>
      <c r="C52" t="s">
        <v>209</v>
      </c>
      <c r="D52" t="s">
        <v>383</v>
      </c>
      <c r="E52" t="s">
        <v>382</v>
      </c>
      <c r="F52" t="s">
        <v>381</v>
      </c>
      <c r="G52" s="22">
        <v>250.27699999999999</v>
      </c>
      <c r="H52" s="1">
        <f>AVERAGE(1,2)</f>
        <v>1.5</v>
      </c>
      <c r="I52" s="1">
        <f>AVERAGE(50,20,22)</f>
        <v>30.666666666666668</v>
      </c>
      <c r="J52" s="1">
        <f>AVERAGE(5,23.7)</f>
        <v>14.35</v>
      </c>
      <c r="K52" s="1">
        <f>AVERAGE(24,73.3,32.6,99,100)</f>
        <v>65.78</v>
      </c>
      <c r="L52" s="1">
        <f>AVERAGE(90,47,100)</f>
        <v>79</v>
      </c>
      <c r="M52" s="1">
        <v>0</v>
      </c>
    </row>
    <row r="53" spans="1:14" x14ac:dyDescent="0.25">
      <c r="A53" t="s">
        <v>10</v>
      </c>
      <c r="B53" t="s">
        <v>9</v>
      </c>
      <c r="C53" t="s">
        <v>210</v>
      </c>
      <c r="D53" t="s">
        <v>386</v>
      </c>
      <c r="E53" t="s">
        <v>385</v>
      </c>
      <c r="F53" t="s">
        <v>384</v>
      </c>
      <c r="G53" s="22">
        <v>253.27799999999999</v>
      </c>
      <c r="H53" s="1">
        <f>AVERAGE(0,2.5,28,0,17)</f>
        <v>9.5</v>
      </c>
      <c r="I53" s="1">
        <f>AVERAGE(0,47,0,38,31,65,55,73.8,0,55.6,0)</f>
        <v>33.218181818181819</v>
      </c>
      <c r="J53" s="1">
        <f>AVERAGE(17.3,0,0)</f>
        <v>5.7666666666666666</v>
      </c>
      <c r="K53" s="1">
        <f>AVERAGE(62.2,93,82,60,100,60.9,68,60.5,99,100,79)</f>
        <v>78.599999999999994</v>
      </c>
      <c r="L53" s="1">
        <f>AVERAGE(93,90,98,98,92,100)</f>
        <v>95.166666666666671</v>
      </c>
      <c r="M53" s="1">
        <f>AVERAGE(64,99,54,55)</f>
        <v>68</v>
      </c>
    </row>
    <row r="54" spans="1:14" x14ac:dyDescent="0.25">
      <c r="A54" t="s">
        <v>102</v>
      </c>
      <c r="B54" t="s">
        <v>0</v>
      </c>
      <c r="C54" t="s">
        <v>211</v>
      </c>
      <c r="D54" t="s">
        <v>389</v>
      </c>
      <c r="E54" t="s">
        <v>388</v>
      </c>
      <c r="F54" t="s">
        <v>387</v>
      </c>
      <c r="G54" s="22">
        <v>249.28899999999999</v>
      </c>
      <c r="H54" s="1">
        <v>0</v>
      </c>
      <c r="I54" s="1">
        <f>AVERAGE(0,69,48)</f>
        <v>39</v>
      </c>
      <c r="J54" s="1">
        <v>24.5</v>
      </c>
      <c r="K54" s="1">
        <f>AVERAGE(25,58.8,99)</f>
        <v>60.933333333333337</v>
      </c>
      <c r="L54" s="1">
        <f>AVERAGE(96,90)</f>
        <v>93</v>
      </c>
      <c r="M54" s="1">
        <v>85</v>
      </c>
    </row>
    <row r="55" spans="1:14" x14ac:dyDescent="0.25">
      <c r="A55" t="s">
        <v>8</v>
      </c>
      <c r="B55" t="s">
        <v>0</v>
      </c>
      <c r="C55" t="s">
        <v>212</v>
      </c>
      <c r="D55" t="s">
        <v>392</v>
      </c>
      <c r="E55" t="s">
        <v>391</v>
      </c>
      <c r="F55" t="s">
        <v>390</v>
      </c>
      <c r="G55" s="22">
        <v>263.38099999999997</v>
      </c>
      <c r="H55" s="1"/>
      <c r="I55" s="1"/>
      <c r="J55" s="1"/>
      <c r="K55" s="1">
        <v>14</v>
      </c>
      <c r="L55" s="1">
        <v>99</v>
      </c>
      <c r="M55" s="1">
        <v>98</v>
      </c>
    </row>
    <row r="56" spans="1:14" x14ac:dyDescent="0.25">
      <c r="A56" t="s">
        <v>7</v>
      </c>
      <c r="B56" t="s">
        <v>99</v>
      </c>
      <c r="C56" t="s">
        <v>213</v>
      </c>
      <c r="D56" t="s">
        <v>395</v>
      </c>
      <c r="E56" t="s">
        <v>394</v>
      </c>
      <c r="F56" t="s">
        <v>393</v>
      </c>
      <c r="G56" s="22">
        <v>290.3177</v>
      </c>
      <c r="H56" s="1">
        <f>AVERAGE(44,0,0,12)</f>
        <v>14</v>
      </c>
      <c r="I56" s="1">
        <f>AVERAGE(0,31,35,53,17,0,25,0,65,10)</f>
        <v>23.6</v>
      </c>
      <c r="J56" s="1">
        <f>AVERAGE(5.1,57,49)</f>
        <v>37.033333333333331</v>
      </c>
      <c r="K56" s="1">
        <f>AVERAGE(60.5,67,30,0,7,33)</f>
        <v>32.916666666666664</v>
      </c>
      <c r="L56" s="1">
        <f>AVERAGE(99,85,86,94,96)</f>
        <v>92</v>
      </c>
      <c r="M56" s="1">
        <f>AVERAGE(94,99,83)</f>
        <v>92</v>
      </c>
    </row>
    <row r="57" spans="1:14" x14ac:dyDescent="0.25">
      <c r="A57" t="s">
        <v>6</v>
      </c>
      <c r="B57" t="s">
        <v>5</v>
      </c>
      <c r="C57" t="s">
        <v>214</v>
      </c>
      <c r="D57" t="s">
        <v>398</v>
      </c>
      <c r="E57" t="s">
        <v>397</v>
      </c>
      <c r="F57" t="s">
        <v>396</v>
      </c>
      <c r="G57" s="22">
        <v>435.5188</v>
      </c>
      <c r="H57" s="1"/>
      <c r="I57" s="1">
        <f>AVERAGE(16,44)</f>
        <v>30</v>
      </c>
      <c r="J57" s="1"/>
      <c r="K57" s="1">
        <f>AVERAGE(0,94)</f>
        <v>47</v>
      </c>
      <c r="L57" s="1">
        <f>AVERAGE(61,61,89)</f>
        <v>70.333333333333329</v>
      </c>
      <c r="M57" s="1">
        <f>AVERAGE(89,65)</f>
        <v>77</v>
      </c>
    </row>
    <row r="58" spans="1:14" x14ac:dyDescent="0.25">
      <c r="A58" t="s">
        <v>3</v>
      </c>
      <c r="B58" t="s">
        <v>2</v>
      </c>
      <c r="C58" t="s">
        <v>215</v>
      </c>
      <c r="D58" t="s">
        <v>402</v>
      </c>
      <c r="E58" t="s">
        <v>401</v>
      </c>
      <c r="F58" t="s">
        <v>400</v>
      </c>
      <c r="G58" s="22">
        <v>277.40179999999998</v>
      </c>
      <c r="H58" s="1"/>
      <c r="I58" s="1">
        <f>AVERAGE(40,0,0)</f>
        <v>13.333333333333334</v>
      </c>
      <c r="J58" s="1"/>
      <c r="K58" s="1">
        <f>AVERAGE(0,95,0)</f>
        <v>31.666666666666668</v>
      </c>
      <c r="L58" s="1">
        <f>AVERAGE(75,84,100,98)</f>
        <v>89.25</v>
      </c>
      <c r="M58" s="1">
        <f>AVERAGE(46,99)</f>
        <v>72.5</v>
      </c>
    </row>
    <row r="59" spans="1:14" x14ac:dyDescent="0.25">
      <c r="A59" t="s">
        <v>1</v>
      </c>
      <c r="B59" t="s">
        <v>0</v>
      </c>
      <c r="C59" t="s">
        <v>216</v>
      </c>
      <c r="D59" t="s">
        <v>405</v>
      </c>
      <c r="E59" t="s">
        <v>403</v>
      </c>
      <c r="F59" t="s">
        <v>404</v>
      </c>
      <c r="G59" s="22">
        <v>267.24130000000002</v>
      </c>
      <c r="H59" s="1"/>
      <c r="I59" s="1">
        <v>99</v>
      </c>
      <c r="J59" s="1">
        <f>AVERAGE(68,0)</f>
        <v>34</v>
      </c>
      <c r="K59" s="1">
        <f>AVERAGE(99,35)</f>
        <v>67</v>
      </c>
      <c r="L59" s="1"/>
      <c r="M59" s="1"/>
    </row>
    <row r="60" spans="1:14" x14ac:dyDescent="0.25">
      <c r="D60" s="26"/>
      <c r="E60" s="20"/>
      <c r="F60" s="20"/>
      <c r="G60" s="9" t="s">
        <v>182</v>
      </c>
      <c r="H60" s="11">
        <f t="shared" ref="H60:M60" si="0">AVERAGE(H2:H59)</f>
        <v>7.8942150537634408</v>
      </c>
      <c r="I60" s="11">
        <f t="shared" si="0"/>
        <v>36.161483972376828</v>
      </c>
      <c r="J60" s="11">
        <f t="shared" si="0"/>
        <v>42.471904761904767</v>
      </c>
      <c r="K60" s="11">
        <f t="shared" si="0"/>
        <v>55.430296092796084</v>
      </c>
      <c r="L60" s="11">
        <f t="shared" si="0"/>
        <v>83.003738095238091</v>
      </c>
      <c r="M60" s="11">
        <f t="shared" si="0"/>
        <v>81.099612403100778</v>
      </c>
      <c r="N60" s="11">
        <f>AVERAGE(L2:M59)</f>
        <v>82.123335893497185</v>
      </c>
    </row>
    <row r="61" spans="1:14" x14ac:dyDescent="0.25">
      <c r="D61" s="26"/>
      <c r="E61" s="20"/>
      <c r="F61" s="20"/>
      <c r="G61" s="9"/>
      <c r="H61" s="11">
        <f t="shared" ref="H61:M61" si="1">STDEV(H2:H59)</f>
        <v>9.1757316041135812</v>
      </c>
      <c r="I61" s="11">
        <f t="shared" si="1"/>
        <v>26.91454282684154</v>
      </c>
      <c r="J61" s="11">
        <f t="shared" si="1"/>
        <v>28.505898088647132</v>
      </c>
      <c r="K61" s="11">
        <f t="shared" si="1"/>
        <v>32.156854693299543</v>
      </c>
      <c r="L61" s="11">
        <f t="shared" si="1"/>
        <v>17.061460284655173</v>
      </c>
      <c r="M61" s="11">
        <f t="shared" si="1"/>
        <v>22.202593063313145</v>
      </c>
      <c r="N61" s="11">
        <f>STDEV(L2:M59)</f>
        <v>19.51908585892367</v>
      </c>
    </row>
    <row r="62" spans="1:14" x14ac:dyDescent="0.25">
      <c r="D62" s="27"/>
      <c r="E62" s="21"/>
      <c r="F62" s="21"/>
      <c r="G62" s="14" t="s">
        <v>183</v>
      </c>
      <c r="H62" s="15">
        <f t="shared" ref="H62:M62" si="2">MIN(H2:H59)</f>
        <v>0</v>
      </c>
      <c r="I62" s="15">
        <f t="shared" si="2"/>
        <v>0</v>
      </c>
      <c r="J62" s="15">
        <f t="shared" si="2"/>
        <v>0</v>
      </c>
      <c r="K62" s="15">
        <f t="shared" si="2"/>
        <v>0</v>
      </c>
      <c r="L62" s="15">
        <f t="shared" si="2"/>
        <v>26.666666666666668</v>
      </c>
      <c r="M62" s="15">
        <f t="shared" si="2"/>
        <v>0</v>
      </c>
    </row>
    <row r="63" spans="1:14" x14ac:dyDescent="0.25">
      <c r="D63" s="27"/>
      <c r="E63" s="21"/>
      <c r="F63" s="21"/>
      <c r="G63" s="14" t="s">
        <v>184</v>
      </c>
      <c r="H63" s="15">
        <f t="shared" ref="H63:M63" si="3">MAX(H2:H59)</f>
        <v>31</v>
      </c>
      <c r="I63" s="15">
        <f t="shared" si="3"/>
        <v>99</v>
      </c>
      <c r="J63" s="15">
        <f t="shared" si="3"/>
        <v>96.9</v>
      </c>
      <c r="K63" s="15">
        <f t="shared" si="3"/>
        <v>100</v>
      </c>
      <c r="L63" s="15">
        <f t="shared" si="3"/>
        <v>100</v>
      </c>
      <c r="M63" s="15">
        <f t="shared" si="3"/>
        <v>100</v>
      </c>
    </row>
    <row r="64" spans="1:14" x14ac:dyDescent="0.25">
      <c r="D64" s="27"/>
      <c r="E64" s="21"/>
      <c r="F64" s="21"/>
      <c r="G64" s="14" t="s">
        <v>185</v>
      </c>
      <c r="H64" s="15">
        <f t="shared" ref="H64:M64" si="4">MEDIAN(H2:H59)</f>
        <v>5</v>
      </c>
      <c r="I64" s="15">
        <f t="shared" si="4"/>
        <v>30.333333333333336</v>
      </c>
      <c r="J64" s="15">
        <f t="shared" si="4"/>
        <v>37.033333333333331</v>
      </c>
      <c r="K64" s="15">
        <f t="shared" si="4"/>
        <v>60.06666666666667</v>
      </c>
      <c r="L64" s="15">
        <f t="shared" si="4"/>
        <v>89.041666666666657</v>
      </c>
      <c r="M64" s="15">
        <f t="shared" si="4"/>
        <v>88</v>
      </c>
    </row>
    <row r="65" spans="2:14" ht="30" x14ac:dyDescent="0.25">
      <c r="D65" s="28"/>
      <c r="E65" s="19"/>
      <c r="F65" s="19"/>
      <c r="G65" s="17" t="s">
        <v>399</v>
      </c>
      <c r="H65" s="18">
        <f>COUNT(H2:H59)</f>
        <v>31</v>
      </c>
      <c r="I65" s="18">
        <f t="shared" ref="I65:M65" si="5">COUNT(I2:I59)</f>
        <v>56</v>
      </c>
      <c r="J65" s="18">
        <f t="shared" si="5"/>
        <v>35</v>
      </c>
      <c r="K65" s="18">
        <f t="shared" si="5"/>
        <v>52</v>
      </c>
      <c r="L65" s="18">
        <f t="shared" si="5"/>
        <v>50</v>
      </c>
      <c r="M65" s="18">
        <f t="shared" si="5"/>
        <v>43</v>
      </c>
    </row>
    <row r="66" spans="2:14" x14ac:dyDescent="0.25">
      <c r="B66" s="16"/>
      <c r="C66" s="19"/>
      <c r="D66" s="28"/>
      <c r="E66" s="19"/>
      <c r="F66" s="19"/>
      <c r="G66" s="19"/>
      <c r="H66" s="16"/>
      <c r="I66" s="16"/>
      <c r="J66" s="16"/>
      <c r="K66" s="16"/>
      <c r="L66" s="16"/>
      <c r="M66" s="16"/>
    </row>
    <row r="67" spans="2:14" x14ac:dyDescent="0.25">
      <c r="H67" s="10" t="s">
        <v>97</v>
      </c>
      <c r="I67" s="10" t="s">
        <v>112</v>
      </c>
      <c r="J67" s="10" t="s">
        <v>110</v>
      </c>
      <c r="K67" s="10" t="s">
        <v>111</v>
      </c>
      <c r="L67" s="10" t="s">
        <v>112</v>
      </c>
      <c r="M67" s="10" t="s">
        <v>112</v>
      </c>
      <c r="N67" s="10" t="s">
        <v>98</v>
      </c>
    </row>
    <row r="68" spans="2:14" x14ac:dyDescent="0.25">
      <c r="H68" s="10" t="s">
        <v>100</v>
      </c>
      <c r="I68" s="10" t="s">
        <v>100</v>
      </c>
      <c r="J68" s="10" t="s">
        <v>113</v>
      </c>
      <c r="K68" s="10" t="s">
        <v>113</v>
      </c>
      <c r="L68" s="10" t="s">
        <v>120</v>
      </c>
      <c r="M68" s="10" t="s">
        <v>173</v>
      </c>
      <c r="N68" s="10" t="s">
        <v>98</v>
      </c>
    </row>
    <row r="69" spans="2:14" x14ac:dyDescent="0.25">
      <c r="H69" s="10" t="s">
        <v>103</v>
      </c>
      <c r="I69" s="10" t="s">
        <v>103</v>
      </c>
      <c r="J69" s="10" t="s">
        <v>117</v>
      </c>
      <c r="K69" s="10" t="s">
        <v>114</v>
      </c>
      <c r="L69" s="10" t="s">
        <v>114</v>
      </c>
      <c r="M69" s="10" t="s">
        <v>222</v>
      </c>
      <c r="N69" s="10" t="s">
        <v>98</v>
      </c>
    </row>
    <row r="70" spans="2:14" x14ac:dyDescent="0.25">
      <c r="H70" s="10" t="s">
        <v>104</v>
      </c>
      <c r="I70" s="10" t="s">
        <v>114</v>
      </c>
      <c r="J70" s="10" t="s">
        <v>123</v>
      </c>
      <c r="K70" s="10" t="s">
        <v>118</v>
      </c>
      <c r="L70" s="10"/>
      <c r="M70" s="10" t="s">
        <v>407</v>
      </c>
    </row>
    <row r="71" spans="2:14" x14ac:dyDescent="0.25">
      <c r="H71" s="10" t="s">
        <v>106</v>
      </c>
      <c r="I71" s="10" t="s">
        <v>106</v>
      </c>
      <c r="J71" s="10" t="s">
        <v>106</v>
      </c>
      <c r="K71" s="10" t="s">
        <v>119</v>
      </c>
      <c r="L71" s="10"/>
      <c r="M71" s="10" t="s">
        <v>98</v>
      </c>
    </row>
    <row r="72" spans="2:14" x14ac:dyDescent="0.25">
      <c r="H72" s="10" t="s">
        <v>107</v>
      </c>
      <c r="I72" s="10" t="s">
        <v>108</v>
      </c>
      <c r="J72" s="10" t="s">
        <v>134</v>
      </c>
      <c r="K72" s="10" t="s">
        <v>108</v>
      </c>
      <c r="L72" s="10" t="s">
        <v>129</v>
      </c>
      <c r="M72" s="10" t="s">
        <v>98</v>
      </c>
    </row>
    <row r="73" spans="2:14" x14ac:dyDescent="0.25">
      <c r="H73" s="10" t="s">
        <v>124</v>
      </c>
      <c r="I73" s="10" t="s">
        <v>109</v>
      </c>
      <c r="J73" s="10" t="s">
        <v>156</v>
      </c>
      <c r="K73" s="10" t="s">
        <v>122</v>
      </c>
      <c r="L73" s="10" t="s">
        <v>122</v>
      </c>
      <c r="M73" s="10" t="s">
        <v>122</v>
      </c>
      <c r="N73" s="10" t="s">
        <v>98</v>
      </c>
    </row>
    <row r="74" spans="2:14" x14ac:dyDescent="0.25">
      <c r="H74" s="10" t="s">
        <v>125</v>
      </c>
      <c r="I74" s="10" t="s">
        <v>115</v>
      </c>
      <c r="J74" s="10" t="s">
        <v>172</v>
      </c>
      <c r="K74" s="10" t="s">
        <v>128</v>
      </c>
      <c r="L74" s="10" t="s">
        <v>128</v>
      </c>
      <c r="M74" s="10" t="s">
        <v>128</v>
      </c>
      <c r="N74" s="10" t="s">
        <v>98</v>
      </c>
    </row>
    <row r="75" spans="2:14" x14ac:dyDescent="0.25">
      <c r="H75" s="10" t="s">
        <v>135</v>
      </c>
      <c r="I75" s="10" t="s">
        <v>116</v>
      </c>
      <c r="J75" s="10" t="s">
        <v>181</v>
      </c>
      <c r="K75" s="10" t="s">
        <v>133</v>
      </c>
      <c r="L75" s="10" t="s">
        <v>116</v>
      </c>
      <c r="M75" s="10" t="s">
        <v>133</v>
      </c>
      <c r="N75" s="10" t="s">
        <v>98</v>
      </c>
    </row>
    <row r="76" spans="2:14" x14ac:dyDescent="0.25">
      <c r="H76" s="10" t="s">
        <v>181</v>
      </c>
      <c r="I76" s="10" t="s">
        <v>121</v>
      </c>
      <c r="J76" s="10" t="s">
        <v>156</v>
      </c>
      <c r="K76" s="10" t="s">
        <v>135</v>
      </c>
      <c r="L76" s="10" t="s">
        <v>130</v>
      </c>
      <c r="M76" s="10" t="s">
        <v>98</v>
      </c>
      <c r="N76" t="s">
        <v>98</v>
      </c>
    </row>
    <row r="77" spans="2:14" x14ac:dyDescent="0.25">
      <c r="H77" s="10" t="s">
        <v>221</v>
      </c>
      <c r="I77" s="10" t="s">
        <v>126</v>
      </c>
      <c r="J77" s="10" t="s">
        <v>131</v>
      </c>
      <c r="K77" s="10" t="s">
        <v>159</v>
      </c>
      <c r="L77" s="10" t="s">
        <v>131</v>
      </c>
      <c r="M77" s="10" t="s">
        <v>98</v>
      </c>
      <c r="N77" t="s">
        <v>98</v>
      </c>
    </row>
    <row r="78" spans="2:14" x14ac:dyDescent="0.25">
      <c r="H78" s="10" t="s">
        <v>127</v>
      </c>
      <c r="I78" s="10" t="s">
        <v>127</v>
      </c>
      <c r="J78" s="10" t="s">
        <v>127</v>
      </c>
      <c r="K78" s="10" t="s">
        <v>127</v>
      </c>
      <c r="L78" s="10" t="s">
        <v>127</v>
      </c>
      <c r="M78" s="10" t="s">
        <v>127</v>
      </c>
      <c r="N78" t="s">
        <v>98</v>
      </c>
    </row>
    <row r="79" spans="2:14" x14ac:dyDescent="0.25">
      <c r="H79" s="12" t="s">
        <v>223</v>
      </c>
      <c r="I79" s="10" t="s">
        <v>116</v>
      </c>
      <c r="J79" s="10" t="s">
        <v>98</v>
      </c>
      <c r="K79" s="10" t="s">
        <v>132</v>
      </c>
      <c r="L79" s="10" t="s">
        <v>116</v>
      </c>
      <c r="M79" s="10" t="s">
        <v>132</v>
      </c>
      <c r="N79" s="10" t="s">
        <v>98</v>
      </c>
    </row>
    <row r="80" spans="2:14" x14ac:dyDescent="0.25">
      <c r="H80" s="10"/>
      <c r="I80" s="10" t="s">
        <v>135</v>
      </c>
      <c r="J80" s="10" t="s">
        <v>98</v>
      </c>
      <c r="K80" s="10" t="s">
        <v>161</v>
      </c>
      <c r="L80" s="10" t="s">
        <v>152</v>
      </c>
      <c r="M80" s="10" t="s">
        <v>98</v>
      </c>
    </row>
    <row r="81" spans="8:14" x14ac:dyDescent="0.25">
      <c r="H81" s="10" t="s">
        <v>136</v>
      </c>
      <c r="I81" s="10" t="s">
        <v>136</v>
      </c>
      <c r="J81" s="10" t="s">
        <v>153</v>
      </c>
      <c r="K81" s="10" t="s">
        <v>136</v>
      </c>
      <c r="L81" s="10" t="s">
        <v>153</v>
      </c>
      <c r="M81" s="10" t="s">
        <v>98</v>
      </c>
      <c r="N81" t="s">
        <v>98</v>
      </c>
    </row>
    <row r="82" spans="8:14" x14ac:dyDescent="0.25">
      <c r="H82" s="10"/>
      <c r="I82" s="10" t="s">
        <v>137</v>
      </c>
      <c r="J82" s="10" t="s">
        <v>98</v>
      </c>
      <c r="K82" s="10" t="s">
        <v>168</v>
      </c>
      <c r="L82" s="10" t="s">
        <v>174</v>
      </c>
      <c r="M82" s="10" t="s">
        <v>98</v>
      </c>
    </row>
    <row r="83" spans="8:14" x14ac:dyDescent="0.25">
      <c r="H83" s="10"/>
      <c r="I83" s="10" t="s">
        <v>154</v>
      </c>
      <c r="J83" s="10" t="s">
        <v>154</v>
      </c>
      <c r="K83" s="10" t="s">
        <v>169</v>
      </c>
      <c r="L83" s="10" t="s">
        <v>175</v>
      </c>
      <c r="M83" s="10" t="s">
        <v>98</v>
      </c>
    </row>
    <row r="84" spans="8:14" x14ac:dyDescent="0.25">
      <c r="H84" s="10" t="s">
        <v>155</v>
      </c>
      <c r="I84" s="10" t="s">
        <v>155</v>
      </c>
      <c r="J84" s="10" t="s">
        <v>98</v>
      </c>
      <c r="K84" s="10" t="s">
        <v>172</v>
      </c>
      <c r="L84" s="10" t="s">
        <v>179</v>
      </c>
      <c r="M84" s="10" t="s">
        <v>98</v>
      </c>
    </row>
    <row r="85" spans="8:14" x14ac:dyDescent="0.25">
      <c r="H85" s="10"/>
      <c r="I85" s="10" t="s">
        <v>157</v>
      </c>
      <c r="J85" s="10" t="s">
        <v>176</v>
      </c>
      <c r="K85" s="10" t="s">
        <v>176</v>
      </c>
      <c r="L85" s="10" t="s">
        <v>180</v>
      </c>
      <c r="M85" s="10" t="s">
        <v>98</v>
      </c>
    </row>
    <row r="86" spans="8:14" x14ac:dyDescent="0.25">
      <c r="H86" s="10"/>
      <c r="I86" s="10" t="s">
        <v>158</v>
      </c>
      <c r="J86" s="10" t="s">
        <v>158</v>
      </c>
      <c r="K86" s="10" t="s">
        <v>178</v>
      </c>
      <c r="L86" s="10" t="s">
        <v>407</v>
      </c>
      <c r="M86" s="10"/>
    </row>
    <row r="87" spans="8:14" x14ac:dyDescent="0.25">
      <c r="H87" s="10"/>
      <c r="I87" s="10" t="s">
        <v>160</v>
      </c>
      <c r="J87" s="10" t="s">
        <v>98</v>
      </c>
      <c r="K87" s="10" t="s">
        <v>218</v>
      </c>
      <c r="L87" s="10" t="s">
        <v>408</v>
      </c>
      <c r="M87" s="10"/>
    </row>
    <row r="88" spans="8:14" x14ac:dyDescent="0.25">
      <c r="H88" s="10"/>
      <c r="I88" s="10" t="s">
        <v>166</v>
      </c>
      <c r="J88" s="10" t="s">
        <v>98</v>
      </c>
      <c r="K88" s="10" t="s">
        <v>220</v>
      </c>
      <c r="L88" s="10" t="s">
        <v>220</v>
      </c>
      <c r="M88" s="10" t="s">
        <v>98</v>
      </c>
    </row>
    <row r="89" spans="8:14" x14ac:dyDescent="0.25">
      <c r="H89" s="10"/>
      <c r="I89" s="10" t="s">
        <v>166</v>
      </c>
      <c r="J89" s="10" t="s">
        <v>98</v>
      </c>
      <c r="K89" s="10" t="s">
        <v>408</v>
      </c>
      <c r="L89" s="10"/>
      <c r="M89" s="10"/>
    </row>
    <row r="90" spans="8:14" x14ac:dyDescent="0.25">
      <c r="H90" s="10"/>
      <c r="I90" s="10" t="s">
        <v>169</v>
      </c>
      <c r="J90" s="10" t="s">
        <v>98</v>
      </c>
      <c r="K90" s="10"/>
      <c r="L90" s="10"/>
      <c r="M90" s="10"/>
    </row>
    <row r="91" spans="8:14" x14ac:dyDescent="0.25">
      <c r="H91" s="10"/>
      <c r="I91" s="10" t="s">
        <v>170</v>
      </c>
      <c r="J91" s="10" t="s">
        <v>98</v>
      </c>
      <c r="K91" s="10"/>
      <c r="L91" s="10"/>
      <c r="M91" s="10"/>
    </row>
    <row r="92" spans="8:14" x14ac:dyDescent="0.25">
      <c r="H92" s="10"/>
      <c r="I92" s="10" t="s">
        <v>171</v>
      </c>
      <c r="J92" s="10" t="s">
        <v>98</v>
      </c>
      <c r="K92" s="10"/>
      <c r="L92" s="10"/>
      <c r="M92" s="10"/>
    </row>
    <row r="93" spans="8:14" x14ac:dyDescent="0.25">
      <c r="H93" s="10"/>
      <c r="I93" s="10" t="s">
        <v>177</v>
      </c>
      <c r="J93" s="10" t="s">
        <v>98</v>
      </c>
      <c r="K93" s="10"/>
      <c r="L93" s="10"/>
      <c r="M93" s="10"/>
    </row>
    <row r="94" spans="8:14" x14ac:dyDescent="0.25">
      <c r="H94" s="10"/>
      <c r="I94" s="10" t="s">
        <v>178</v>
      </c>
      <c r="J94" s="10" t="s">
        <v>98</v>
      </c>
      <c r="K94" s="10"/>
      <c r="L94" s="10"/>
      <c r="M94" s="10"/>
    </row>
    <row r="95" spans="8:14" x14ac:dyDescent="0.25">
      <c r="H95" s="10"/>
      <c r="I95" s="10" t="s">
        <v>219</v>
      </c>
      <c r="J95" s="10" t="s">
        <v>98</v>
      </c>
      <c r="K95" s="10"/>
      <c r="L95" s="10"/>
      <c r="M95" s="10"/>
    </row>
    <row r="96" spans="8:14" x14ac:dyDescent="0.25">
      <c r="I96" s="10" t="s">
        <v>221</v>
      </c>
      <c r="J96" t="s">
        <v>98</v>
      </c>
    </row>
    <row r="97" spans="9:10" x14ac:dyDescent="0.25">
      <c r="I97" s="12" t="s">
        <v>223</v>
      </c>
      <c r="J97" t="s">
        <v>98</v>
      </c>
    </row>
  </sheetData>
  <autoFilter ref="A1:M65" xr:uid="{58A567BA-06C0-4E7F-89D8-1EC8F48942A0}">
    <sortState xmlns:xlrd2="http://schemas.microsoft.com/office/spreadsheetml/2017/richdata2" ref="A2:M59">
      <sortCondition ref="A1:A5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448C-80A0-4984-B926-9AB72E93C040}">
  <dimension ref="A1:B67"/>
  <sheetViews>
    <sheetView topLeftCell="A25" zoomScale="90" zoomScaleNormal="90" workbookViewId="0">
      <selection activeCell="B69" sqref="B69"/>
    </sheetView>
  </sheetViews>
  <sheetFormatPr defaultColWidth="9.140625" defaultRowHeight="15" x14ac:dyDescent="0.25"/>
  <cols>
    <col min="1" max="1" width="9.140625" style="12"/>
    <col min="2" max="16384" width="9.140625" style="13"/>
  </cols>
  <sheetData>
    <row r="1" spans="1:1" x14ac:dyDescent="0.25">
      <c r="A1" s="12" t="s">
        <v>138</v>
      </c>
    </row>
    <row r="2" spans="1:1" x14ac:dyDescent="0.25">
      <c r="A2" s="12" t="s">
        <v>412</v>
      </c>
    </row>
    <row r="3" spans="1:1" x14ac:dyDescent="0.25">
      <c r="A3" s="12" t="s">
        <v>413</v>
      </c>
    </row>
    <row r="4" spans="1:1" x14ac:dyDescent="0.25">
      <c r="A4" s="12" t="s">
        <v>124</v>
      </c>
    </row>
    <row r="5" spans="1:1" x14ac:dyDescent="0.25">
      <c r="A5" s="12" t="s">
        <v>123</v>
      </c>
    </row>
    <row r="6" spans="1:1" x14ac:dyDescent="0.25">
      <c r="A6" s="12" t="s">
        <v>134</v>
      </c>
    </row>
    <row r="7" spans="1:1" x14ac:dyDescent="0.25">
      <c r="A7" s="12" t="s">
        <v>139</v>
      </c>
    </row>
    <row r="8" spans="1:1" x14ac:dyDescent="0.25">
      <c r="A8" s="12" t="s">
        <v>140</v>
      </c>
    </row>
    <row r="9" spans="1:1" x14ac:dyDescent="0.25">
      <c r="A9" s="12" t="s">
        <v>167</v>
      </c>
    </row>
    <row r="10" spans="1:1" x14ac:dyDescent="0.25">
      <c r="A10" s="12" t="s">
        <v>141</v>
      </c>
    </row>
    <row r="11" spans="1:1" x14ac:dyDescent="0.25">
      <c r="A11" s="12" t="s">
        <v>137</v>
      </c>
    </row>
    <row r="12" spans="1:1" x14ac:dyDescent="0.25">
      <c r="A12" s="12" t="s">
        <v>414</v>
      </c>
    </row>
    <row r="13" spans="1:1" x14ac:dyDescent="0.25">
      <c r="A13" s="12" t="s">
        <v>415</v>
      </c>
    </row>
    <row r="14" spans="1:1" x14ac:dyDescent="0.25">
      <c r="A14" s="12" t="s">
        <v>136</v>
      </c>
    </row>
    <row r="15" spans="1:1" x14ac:dyDescent="0.25">
      <c r="A15" s="12" t="s">
        <v>220</v>
      </c>
    </row>
    <row r="16" spans="1:1" x14ac:dyDescent="0.25">
      <c r="A16" s="12" t="s">
        <v>127</v>
      </c>
    </row>
    <row r="17" spans="1:1" x14ac:dyDescent="0.25">
      <c r="A17" s="12" t="s">
        <v>142</v>
      </c>
    </row>
    <row r="18" spans="1:1" x14ac:dyDescent="0.25">
      <c r="A18" s="12" t="s">
        <v>143</v>
      </c>
    </row>
    <row r="19" spans="1:1" x14ac:dyDescent="0.25">
      <c r="A19" s="12" t="s">
        <v>122</v>
      </c>
    </row>
    <row r="20" spans="1:1" x14ac:dyDescent="0.25">
      <c r="A20" s="12" t="s">
        <v>144</v>
      </c>
    </row>
    <row r="21" spans="1:1" x14ac:dyDescent="0.25">
      <c r="A21" s="12" t="s">
        <v>145</v>
      </c>
    </row>
    <row r="22" spans="1:1" x14ac:dyDescent="0.25">
      <c r="A22" s="12" t="s">
        <v>416</v>
      </c>
    </row>
    <row r="23" spans="1:1" x14ac:dyDescent="0.25">
      <c r="A23" s="12" t="s">
        <v>221</v>
      </c>
    </row>
    <row r="24" spans="1:1" x14ac:dyDescent="0.25">
      <c r="A24" s="12" t="s">
        <v>125</v>
      </c>
    </row>
    <row r="25" spans="1:1" x14ac:dyDescent="0.25">
      <c r="A25" s="12" t="s">
        <v>120</v>
      </c>
    </row>
    <row r="26" spans="1:1" x14ac:dyDescent="0.25">
      <c r="A26" s="12" t="s">
        <v>146</v>
      </c>
    </row>
    <row r="27" spans="1:1" x14ac:dyDescent="0.25">
      <c r="A27" s="12" t="s">
        <v>121</v>
      </c>
    </row>
    <row r="28" spans="1:1" x14ac:dyDescent="0.25">
      <c r="A28" s="12" t="s">
        <v>417</v>
      </c>
    </row>
    <row r="29" spans="1:1" x14ac:dyDescent="0.25">
      <c r="A29" s="12" t="s">
        <v>157</v>
      </c>
    </row>
    <row r="30" spans="1:1" x14ac:dyDescent="0.25">
      <c r="A30" s="12" t="s">
        <v>219</v>
      </c>
    </row>
    <row r="31" spans="1:1" x14ac:dyDescent="0.25">
      <c r="A31" s="12" t="s">
        <v>128</v>
      </c>
    </row>
    <row r="32" spans="1:1" x14ac:dyDescent="0.25">
      <c r="A32" s="12" t="s">
        <v>147</v>
      </c>
    </row>
    <row r="33" spans="1:1" x14ac:dyDescent="0.25">
      <c r="A33" s="12" t="s">
        <v>418</v>
      </c>
    </row>
    <row r="34" spans="1:1" x14ac:dyDescent="0.25">
      <c r="A34" s="12" t="s">
        <v>154</v>
      </c>
    </row>
    <row r="35" spans="1:1" x14ac:dyDescent="0.25">
      <c r="A35" s="12" t="s">
        <v>419</v>
      </c>
    </row>
    <row r="36" spans="1:1" x14ac:dyDescent="0.25">
      <c r="A36" s="12" t="s">
        <v>148</v>
      </c>
    </row>
    <row r="37" spans="1:1" x14ac:dyDescent="0.25">
      <c r="A37" s="12" t="s">
        <v>149</v>
      </c>
    </row>
    <row r="38" spans="1:1" x14ac:dyDescent="0.25">
      <c r="A38" s="12" t="s">
        <v>218</v>
      </c>
    </row>
    <row r="39" spans="1:1" x14ac:dyDescent="0.25">
      <c r="A39" s="12" t="s">
        <v>126</v>
      </c>
    </row>
    <row r="40" spans="1:1" x14ac:dyDescent="0.25">
      <c r="A40" s="12" t="s">
        <v>222</v>
      </c>
    </row>
    <row r="41" spans="1:1" x14ac:dyDescent="0.25">
      <c r="A41" s="12" t="s">
        <v>408</v>
      </c>
    </row>
    <row r="42" spans="1:1" x14ac:dyDescent="0.25">
      <c r="A42" s="12" t="s">
        <v>420</v>
      </c>
    </row>
    <row r="43" spans="1:1" x14ac:dyDescent="0.25">
      <c r="A43" s="12" t="s">
        <v>156</v>
      </c>
    </row>
    <row r="44" spans="1:1" x14ac:dyDescent="0.25">
      <c r="A44" s="12" t="s">
        <v>421</v>
      </c>
    </row>
    <row r="45" spans="1:1" x14ac:dyDescent="0.25">
      <c r="A45" s="12" t="s">
        <v>129</v>
      </c>
    </row>
    <row r="46" spans="1:1" x14ac:dyDescent="0.25">
      <c r="A46" s="12" t="s">
        <v>422</v>
      </c>
    </row>
    <row r="47" spans="1:1" x14ac:dyDescent="0.25">
      <c r="A47" s="12" t="s">
        <v>150</v>
      </c>
    </row>
    <row r="48" spans="1:1" x14ac:dyDescent="0.25">
      <c r="A48" s="12" t="s">
        <v>217</v>
      </c>
    </row>
    <row r="49" spans="1:1" x14ac:dyDescent="0.25">
      <c r="A49" s="12" t="s">
        <v>132</v>
      </c>
    </row>
    <row r="50" spans="1:1" x14ac:dyDescent="0.25">
      <c r="A50" s="12" t="s">
        <v>423</v>
      </c>
    </row>
    <row r="51" spans="1:1" x14ac:dyDescent="0.25">
      <c r="A51" s="12" t="s">
        <v>153</v>
      </c>
    </row>
    <row r="52" spans="1:1" x14ac:dyDescent="0.25">
      <c r="A52" s="12" t="s">
        <v>152</v>
      </c>
    </row>
    <row r="53" spans="1:1" x14ac:dyDescent="0.25">
      <c r="A53" s="12" t="s">
        <v>107</v>
      </c>
    </row>
    <row r="54" spans="1:1" x14ac:dyDescent="0.25">
      <c r="A54" s="12" t="s">
        <v>119</v>
      </c>
    </row>
    <row r="55" spans="1:1" x14ac:dyDescent="0.25">
      <c r="A55" s="12" t="s">
        <v>424</v>
      </c>
    </row>
    <row r="56" spans="1:1" x14ac:dyDescent="0.25">
      <c r="A56" s="12" t="s">
        <v>131</v>
      </c>
    </row>
    <row r="57" spans="1:1" x14ac:dyDescent="0.25">
      <c r="A57" s="12" t="s">
        <v>135</v>
      </c>
    </row>
    <row r="58" spans="1:1" x14ac:dyDescent="0.25">
      <c r="A58" s="12" t="s">
        <v>223</v>
      </c>
    </row>
    <row r="59" spans="1:1" x14ac:dyDescent="0.25">
      <c r="A59" s="12" t="s">
        <v>155</v>
      </c>
    </row>
    <row r="60" spans="1:1" x14ac:dyDescent="0.25">
      <c r="A60" s="12" t="s">
        <v>151</v>
      </c>
    </row>
    <row r="65" spans="1:2" x14ac:dyDescent="0.25">
      <c r="A65" s="12" t="s">
        <v>409</v>
      </c>
    </row>
    <row r="66" spans="1:2" x14ac:dyDescent="0.25">
      <c r="B66" s="13" t="s">
        <v>410</v>
      </c>
    </row>
    <row r="67" spans="1:2" x14ac:dyDescent="0.25">
      <c r="B67" s="13" t="s">
        <v>411</v>
      </c>
    </row>
  </sheetData>
  <sortState xmlns:xlrd2="http://schemas.microsoft.com/office/spreadsheetml/2017/richdata2" ref="A2:A63">
    <sortCondition ref="A1:A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Removal_calculation</vt:lpstr>
      <vt:lpstr>Reference_List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Dijk, J. van (Joanke)</dc:creator>
  <cp:lastModifiedBy>Sam Welch</cp:lastModifiedBy>
  <dcterms:created xsi:type="dcterms:W3CDTF">2022-03-25T12:36:47Z</dcterms:created>
  <dcterms:modified xsi:type="dcterms:W3CDTF">2023-07-26T12:53:24Z</dcterms:modified>
</cp:coreProperties>
</file>