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ocs/"/>
    </mc:Choice>
  </mc:AlternateContent>
  <xr:revisionPtr revIDLastSave="514" documentId="8_{0C8F64EE-B0B2-44A8-A4B9-30099FAA7F78}" xr6:coauthVersionLast="45" xr6:coauthVersionMax="45" xr10:uidLastSave="{6ECBA0C6-0F9A-4BC2-83AB-CAD0F7A3C364}"/>
  <bookViews>
    <workbookView xWindow="-120" yWindow="-120" windowWidth="29040" windowHeight="17640" xr2:uid="{ED9138C3-D783-4741-B063-C90EAAF57C92}"/>
  </bookViews>
  <sheets>
    <sheet name="Scenarios" sheetId="1" r:id="rId1"/>
    <sheet name="Wastewater Calculations" sheetId="3" r:id="rId2"/>
    <sheet name="API_Removal_Rates" sheetId="2" r:id="rId3"/>
  </sheets>
  <definedNames>
    <definedName name="_xlnm._FilterDatabase" localSheetId="0" hidden="1">Scenarios!$A$1:$T$37</definedName>
    <definedName name="_xlnm._FilterDatabase" localSheetId="1" hidden="1">'Wastewater Calculations'!$A$1:$E$1</definedName>
    <definedName name="_xlchart.v1.0" hidden="1">'Wastewater Calculations'!$A$2:$B$12</definedName>
    <definedName name="_xlchart.v1.1" hidden="1">'Wastewater Calculations'!$E$1</definedName>
    <definedName name="_xlchart.v1.2" hidden="1">'Wastewater Calculations'!$E$2:$E$12</definedName>
    <definedName name="_xlchart.v1.3" hidden="1">'Wastewater Calculations'!$A$2:$B$12</definedName>
    <definedName name="_xlchart.v1.4" hidden="1">'Wastewater Calculations'!$C$1</definedName>
    <definedName name="_xlchart.v1.5" hidden="1">'Wastewater Calculations'!$C$2:$C$12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G3" i="3"/>
  <c r="G4" i="3"/>
  <c r="G5" i="3"/>
  <c r="G6" i="3"/>
  <c r="G7" i="3"/>
  <c r="G8" i="3"/>
  <c r="G9" i="3"/>
  <c r="G10" i="3"/>
  <c r="G11" i="3"/>
  <c r="G12" i="3"/>
  <c r="G2" i="3"/>
  <c r="H3" i="3"/>
  <c r="H4" i="3"/>
  <c r="H5" i="3"/>
  <c r="H6" i="3"/>
  <c r="H7" i="3"/>
  <c r="H8" i="3"/>
  <c r="H9" i="3"/>
  <c r="H10" i="3"/>
  <c r="H11" i="3"/>
  <c r="H12" i="3"/>
  <c r="H2" i="3"/>
  <c r="E3" i="3"/>
  <c r="E4" i="3"/>
  <c r="E5" i="3"/>
  <c r="E6" i="3"/>
  <c r="E7" i="3"/>
  <c r="E8" i="3"/>
  <c r="E9" i="3"/>
  <c r="E10" i="3"/>
  <c r="E11" i="3"/>
  <c r="E12" i="3"/>
  <c r="E2" i="3"/>
  <c r="O2" i="1" l="1"/>
  <c r="L14" i="1"/>
  <c r="P14" i="1" s="1"/>
  <c r="M14" i="1"/>
  <c r="Q14" i="1" s="1"/>
  <c r="N14" i="1"/>
  <c r="R14" i="1" s="1"/>
  <c r="L26" i="1"/>
  <c r="P26" i="1" s="1"/>
  <c r="M26" i="1"/>
  <c r="Q26" i="1" s="1"/>
  <c r="N26" i="1"/>
  <c r="R26" i="1" s="1"/>
  <c r="L3" i="1"/>
  <c r="P3" i="1" s="1"/>
  <c r="M3" i="1"/>
  <c r="Q3" i="1" s="1"/>
  <c r="N3" i="1"/>
  <c r="R3" i="1" s="1"/>
  <c r="L15" i="1"/>
  <c r="P15" i="1" s="1"/>
  <c r="M15" i="1"/>
  <c r="Q15" i="1" s="1"/>
  <c r="N15" i="1"/>
  <c r="R15" i="1" s="1"/>
  <c r="L27" i="1"/>
  <c r="P27" i="1" s="1"/>
  <c r="M27" i="1"/>
  <c r="Q27" i="1" s="1"/>
  <c r="N27" i="1"/>
  <c r="R27" i="1" s="1"/>
  <c r="L4" i="1"/>
  <c r="P4" i="1" s="1"/>
  <c r="M4" i="1"/>
  <c r="Q4" i="1" s="1"/>
  <c r="N4" i="1"/>
  <c r="R4" i="1" s="1"/>
  <c r="L16" i="1"/>
  <c r="P16" i="1" s="1"/>
  <c r="M16" i="1"/>
  <c r="Q16" i="1" s="1"/>
  <c r="N16" i="1"/>
  <c r="R16" i="1" s="1"/>
  <c r="L28" i="1"/>
  <c r="P28" i="1" s="1"/>
  <c r="M28" i="1"/>
  <c r="Q28" i="1" s="1"/>
  <c r="N28" i="1"/>
  <c r="R28" i="1" s="1"/>
  <c r="L5" i="1"/>
  <c r="P5" i="1" s="1"/>
  <c r="M5" i="1"/>
  <c r="Q5" i="1" s="1"/>
  <c r="N5" i="1"/>
  <c r="R5" i="1" s="1"/>
  <c r="L17" i="1"/>
  <c r="P17" i="1" s="1"/>
  <c r="M17" i="1"/>
  <c r="Q17" i="1" s="1"/>
  <c r="N17" i="1"/>
  <c r="R17" i="1" s="1"/>
  <c r="L29" i="1"/>
  <c r="P29" i="1" s="1"/>
  <c r="M29" i="1"/>
  <c r="Q29" i="1" s="1"/>
  <c r="N29" i="1"/>
  <c r="R29" i="1" s="1"/>
  <c r="L6" i="1"/>
  <c r="P6" i="1" s="1"/>
  <c r="M6" i="1"/>
  <c r="Q6" i="1" s="1"/>
  <c r="N6" i="1"/>
  <c r="R6" i="1" s="1"/>
  <c r="L18" i="1"/>
  <c r="P18" i="1" s="1"/>
  <c r="M18" i="1"/>
  <c r="Q18" i="1" s="1"/>
  <c r="N18" i="1"/>
  <c r="R18" i="1" s="1"/>
  <c r="L30" i="1"/>
  <c r="P30" i="1" s="1"/>
  <c r="M30" i="1"/>
  <c r="Q30" i="1" s="1"/>
  <c r="N30" i="1"/>
  <c r="R30" i="1" s="1"/>
  <c r="L7" i="1"/>
  <c r="P7" i="1" s="1"/>
  <c r="M7" i="1"/>
  <c r="Q7" i="1" s="1"/>
  <c r="N7" i="1"/>
  <c r="R7" i="1" s="1"/>
  <c r="L19" i="1"/>
  <c r="P19" i="1" s="1"/>
  <c r="M19" i="1"/>
  <c r="Q19" i="1" s="1"/>
  <c r="N19" i="1"/>
  <c r="R19" i="1" s="1"/>
  <c r="L31" i="1"/>
  <c r="P31" i="1" s="1"/>
  <c r="M31" i="1"/>
  <c r="Q31" i="1" s="1"/>
  <c r="N31" i="1"/>
  <c r="R31" i="1" s="1"/>
  <c r="L8" i="1"/>
  <c r="P8" i="1" s="1"/>
  <c r="M8" i="1"/>
  <c r="Q8" i="1" s="1"/>
  <c r="N8" i="1"/>
  <c r="R8" i="1" s="1"/>
  <c r="L20" i="1"/>
  <c r="P20" i="1" s="1"/>
  <c r="M20" i="1"/>
  <c r="Q20" i="1" s="1"/>
  <c r="N20" i="1"/>
  <c r="R20" i="1" s="1"/>
  <c r="L32" i="1"/>
  <c r="P32" i="1" s="1"/>
  <c r="M32" i="1"/>
  <c r="Q32" i="1" s="1"/>
  <c r="N32" i="1"/>
  <c r="R32" i="1" s="1"/>
  <c r="L9" i="1"/>
  <c r="P9" i="1" s="1"/>
  <c r="M9" i="1"/>
  <c r="Q9" i="1" s="1"/>
  <c r="N9" i="1"/>
  <c r="R9" i="1" s="1"/>
  <c r="L21" i="1"/>
  <c r="P21" i="1" s="1"/>
  <c r="M21" i="1"/>
  <c r="Q21" i="1" s="1"/>
  <c r="N21" i="1"/>
  <c r="R21" i="1" s="1"/>
  <c r="L33" i="1"/>
  <c r="P33" i="1" s="1"/>
  <c r="M33" i="1"/>
  <c r="Q33" i="1" s="1"/>
  <c r="N33" i="1"/>
  <c r="R33" i="1" s="1"/>
  <c r="L10" i="1"/>
  <c r="P10" i="1" s="1"/>
  <c r="M10" i="1"/>
  <c r="Q10" i="1" s="1"/>
  <c r="N10" i="1"/>
  <c r="R10" i="1" s="1"/>
  <c r="L22" i="1"/>
  <c r="P22" i="1" s="1"/>
  <c r="M22" i="1"/>
  <c r="Q22" i="1" s="1"/>
  <c r="N22" i="1"/>
  <c r="R22" i="1" s="1"/>
  <c r="L34" i="1"/>
  <c r="P34" i="1" s="1"/>
  <c r="M34" i="1"/>
  <c r="Q34" i="1" s="1"/>
  <c r="N34" i="1"/>
  <c r="R34" i="1" s="1"/>
  <c r="L11" i="1"/>
  <c r="P11" i="1" s="1"/>
  <c r="M11" i="1"/>
  <c r="Q11" i="1" s="1"/>
  <c r="N11" i="1"/>
  <c r="R11" i="1" s="1"/>
  <c r="L23" i="1"/>
  <c r="P23" i="1" s="1"/>
  <c r="M23" i="1"/>
  <c r="Q23" i="1" s="1"/>
  <c r="N23" i="1"/>
  <c r="R23" i="1" s="1"/>
  <c r="L35" i="1"/>
  <c r="P35" i="1" s="1"/>
  <c r="M35" i="1"/>
  <c r="Q35" i="1" s="1"/>
  <c r="N35" i="1"/>
  <c r="R35" i="1" s="1"/>
  <c r="L12" i="1"/>
  <c r="P12" i="1" s="1"/>
  <c r="M12" i="1"/>
  <c r="Q12" i="1" s="1"/>
  <c r="N12" i="1"/>
  <c r="R12" i="1" s="1"/>
  <c r="L24" i="1"/>
  <c r="P24" i="1" s="1"/>
  <c r="M24" i="1"/>
  <c r="Q24" i="1" s="1"/>
  <c r="N24" i="1"/>
  <c r="R24" i="1" s="1"/>
  <c r="L36" i="1"/>
  <c r="P36" i="1" s="1"/>
  <c r="M36" i="1"/>
  <c r="Q36" i="1" s="1"/>
  <c r="N36" i="1"/>
  <c r="R36" i="1" s="1"/>
  <c r="L13" i="1"/>
  <c r="P13" i="1" s="1"/>
  <c r="M13" i="1"/>
  <c r="Q13" i="1" s="1"/>
  <c r="N13" i="1"/>
  <c r="R13" i="1" s="1"/>
  <c r="L25" i="1"/>
  <c r="P25" i="1" s="1"/>
  <c r="M25" i="1"/>
  <c r="Q25" i="1" s="1"/>
  <c r="N25" i="1"/>
  <c r="R25" i="1" s="1"/>
  <c r="L37" i="1"/>
  <c r="P37" i="1" s="1"/>
  <c r="M37" i="1"/>
  <c r="Q37" i="1" s="1"/>
  <c r="N37" i="1"/>
  <c r="R37" i="1" s="1"/>
  <c r="N2" i="1"/>
  <c r="M2" i="1"/>
  <c r="Q2" i="1" s="1"/>
  <c r="L2" i="1"/>
  <c r="P2" i="1" s="1"/>
  <c r="S12" i="1" l="1"/>
  <c r="T12" i="1" s="1"/>
  <c r="S10" i="1"/>
  <c r="T10" i="1" s="1"/>
  <c r="S19" i="1"/>
  <c r="T19" i="1" s="1"/>
  <c r="S6" i="1"/>
  <c r="T6" i="1" s="1"/>
  <c r="S22" i="1"/>
  <c r="T22" i="1" s="1"/>
  <c r="S30" i="1"/>
  <c r="T30" i="1" s="1"/>
  <c r="S2" i="1"/>
  <c r="T2" i="1" s="1"/>
  <c r="S4" i="1"/>
  <c r="T4" i="1" s="1"/>
  <c r="S21" i="1"/>
  <c r="T21" i="1" s="1"/>
  <c r="S36" i="1"/>
  <c r="T36" i="1" s="1"/>
  <c r="S20" i="1"/>
  <c r="T20" i="1" s="1"/>
  <c r="S37" i="1"/>
  <c r="T37" i="1" s="1"/>
  <c r="S28" i="1"/>
  <c r="T28" i="1" s="1"/>
  <c r="S23" i="1"/>
  <c r="T23" i="1" s="1"/>
  <c r="S29" i="1"/>
  <c r="T29" i="1" s="1"/>
  <c r="S14" i="1"/>
  <c r="T14" i="1" s="1"/>
  <c r="S31" i="1"/>
  <c r="T31" i="1" s="1"/>
  <c r="S15" i="1"/>
  <c r="T15" i="1" s="1"/>
  <c r="S11" i="1"/>
  <c r="T11" i="1" s="1"/>
  <c r="S13" i="1"/>
  <c r="T13" i="1" s="1"/>
  <c r="S32" i="1"/>
  <c r="T32" i="1" s="1"/>
  <c r="S3" i="1"/>
  <c r="T3" i="1" s="1"/>
  <c r="S5" i="1"/>
  <c r="T5" i="1" s="1"/>
  <c r="S35" i="1"/>
  <c r="T35" i="1" s="1"/>
  <c r="S9" i="1"/>
  <c r="T9" i="1" s="1"/>
  <c r="S18" i="1"/>
  <c r="T18" i="1" s="1"/>
  <c r="S27" i="1"/>
  <c r="T27" i="1" s="1"/>
  <c r="S25" i="1"/>
  <c r="T25" i="1" s="1"/>
  <c r="S24" i="1"/>
  <c r="T24" i="1" s="1"/>
  <c r="S34" i="1"/>
  <c r="T34" i="1" s="1"/>
  <c r="S33" i="1"/>
  <c r="T33" i="1" s="1"/>
  <c r="S8" i="1"/>
  <c r="T8" i="1" s="1"/>
  <c r="S7" i="1"/>
  <c r="T7" i="1" s="1"/>
  <c r="S17" i="1"/>
  <c r="T17" i="1" s="1"/>
  <c r="S16" i="1"/>
  <c r="T16" i="1" s="1"/>
  <c r="S26" i="1"/>
  <c r="T26" i="1" s="1"/>
  <c r="Z14" i="1" l="1"/>
  <c r="X14" i="1"/>
  <c r="V14" i="1"/>
  <c r="Y14" i="1"/>
  <c r="W14" i="1"/>
  <c r="U14" i="1"/>
  <c r="Y4" i="1"/>
  <c r="W4" i="1"/>
  <c r="U4" i="1"/>
  <c r="X4" i="1"/>
  <c r="Z4" i="1"/>
  <c r="V4" i="1"/>
  <c r="Z21" i="1"/>
  <c r="X21" i="1"/>
  <c r="V21" i="1"/>
  <c r="Y21" i="1"/>
  <c r="W21" i="1"/>
  <c r="U21" i="1"/>
  <c r="Z6" i="1"/>
  <c r="X6" i="1"/>
  <c r="V6" i="1"/>
  <c r="Y6" i="1"/>
  <c r="W6" i="1"/>
  <c r="U6" i="1"/>
  <c r="Y26" i="1"/>
  <c r="W26" i="1"/>
  <c r="U26" i="1"/>
  <c r="Z26" i="1"/>
  <c r="X26" i="1"/>
  <c r="V26" i="1"/>
  <c r="Y25" i="1"/>
  <c r="W25" i="1"/>
  <c r="U25" i="1"/>
  <c r="Z25" i="1"/>
  <c r="X25" i="1"/>
  <c r="V25" i="1"/>
  <c r="Z24" i="1"/>
  <c r="X24" i="1"/>
  <c r="V24" i="1"/>
  <c r="Y24" i="1"/>
  <c r="U24" i="1"/>
  <c r="W24" i="1"/>
  <c r="Y3" i="1"/>
  <c r="W3" i="1"/>
  <c r="U3" i="1"/>
  <c r="X3" i="1"/>
  <c r="V3" i="1"/>
  <c r="Z3" i="1"/>
  <c r="Y19" i="1"/>
  <c r="W19" i="1"/>
  <c r="U19" i="1"/>
  <c r="X19" i="1"/>
  <c r="V19" i="1"/>
  <c r="Z19" i="1"/>
  <c r="Z2" i="1"/>
  <c r="X2" i="1"/>
  <c r="V2" i="1"/>
  <c r="Y2" i="1"/>
  <c r="W2" i="1"/>
  <c r="U2" i="1"/>
  <c r="Z7" i="1"/>
  <c r="X7" i="1"/>
  <c r="V7" i="1"/>
  <c r="Y7" i="1"/>
  <c r="W7" i="1"/>
  <c r="U7" i="1"/>
  <c r="Y10" i="1"/>
  <c r="W10" i="1"/>
  <c r="U10" i="1"/>
  <c r="Z10" i="1"/>
  <c r="X10" i="1"/>
  <c r="V10" i="1"/>
  <c r="Z23" i="1"/>
  <c r="X23" i="1"/>
  <c r="V23" i="1"/>
  <c r="Y23" i="1"/>
  <c r="W23" i="1"/>
  <c r="U23" i="1"/>
  <c r="Y17" i="1"/>
  <c r="W17" i="1"/>
  <c r="U17" i="1"/>
  <c r="Z17" i="1"/>
  <c r="X17" i="1"/>
  <c r="V17" i="1"/>
  <c r="Y20" i="1"/>
  <c r="W20" i="1"/>
  <c r="U20" i="1"/>
  <c r="Z20" i="1"/>
  <c r="X20" i="1"/>
  <c r="V20" i="1"/>
  <c r="Y34" i="1"/>
  <c r="W34" i="1"/>
  <c r="U34" i="1"/>
  <c r="Z34" i="1"/>
  <c r="X34" i="1"/>
  <c r="V34" i="1"/>
  <c r="Z32" i="1"/>
  <c r="X32" i="1"/>
  <c r="V32" i="1"/>
  <c r="W32" i="1"/>
  <c r="Y32" i="1"/>
  <c r="U32" i="1"/>
  <c r="Y36" i="1"/>
  <c r="W36" i="1"/>
  <c r="U36" i="1"/>
  <c r="X36" i="1"/>
  <c r="Z36" i="1"/>
  <c r="V36" i="1"/>
  <c r="Y9" i="1"/>
  <c r="W9" i="1"/>
  <c r="U9" i="1"/>
  <c r="Z9" i="1"/>
  <c r="X9" i="1"/>
  <c r="V9" i="1"/>
  <c r="Y18" i="1"/>
  <c r="W18" i="1"/>
  <c r="U18" i="1"/>
  <c r="Z18" i="1"/>
  <c r="X18" i="1"/>
  <c r="V18" i="1"/>
  <c r="Y33" i="1"/>
  <c r="W33" i="1"/>
  <c r="U33" i="1"/>
  <c r="Z33" i="1"/>
  <c r="X33" i="1"/>
  <c r="V33" i="1"/>
  <c r="Z29" i="1"/>
  <c r="X29" i="1"/>
  <c r="V29" i="1"/>
  <c r="Y29" i="1"/>
  <c r="W29" i="1"/>
  <c r="U29" i="1"/>
  <c r="Z37" i="1"/>
  <c r="X37" i="1"/>
  <c r="V37" i="1"/>
  <c r="Y37" i="1"/>
  <c r="W37" i="1"/>
  <c r="U37" i="1"/>
  <c r="Y11" i="1"/>
  <c r="W11" i="1"/>
  <c r="U11" i="1"/>
  <c r="Z11" i="1"/>
  <c r="X11" i="1"/>
  <c r="V11" i="1"/>
  <c r="Z30" i="1"/>
  <c r="X30" i="1"/>
  <c r="V30" i="1"/>
  <c r="Y30" i="1"/>
  <c r="W30" i="1"/>
  <c r="U30" i="1"/>
  <c r="X22" i="1"/>
  <c r="V22" i="1"/>
  <c r="Z22" i="1"/>
  <c r="Y22" i="1"/>
  <c r="W22" i="1"/>
  <c r="U22" i="1"/>
  <c r="Z5" i="1"/>
  <c r="X5" i="1"/>
  <c r="V5" i="1"/>
  <c r="Y5" i="1"/>
  <c r="W5" i="1"/>
  <c r="U5" i="1"/>
  <c r="Z8" i="1"/>
  <c r="X8" i="1"/>
  <c r="V8" i="1"/>
  <c r="Y8" i="1"/>
  <c r="U8" i="1"/>
  <c r="W8" i="1"/>
  <c r="Z31" i="1"/>
  <c r="X31" i="1"/>
  <c r="V31" i="1"/>
  <c r="U31" i="1"/>
  <c r="Y31" i="1"/>
  <c r="W31" i="1"/>
  <c r="Z15" i="1"/>
  <c r="X15" i="1"/>
  <c r="V15" i="1"/>
  <c r="U15" i="1"/>
  <c r="Y15" i="1"/>
  <c r="W15" i="1"/>
  <c r="Y28" i="1"/>
  <c r="W28" i="1"/>
  <c r="U28" i="1"/>
  <c r="V28" i="1"/>
  <c r="Z28" i="1"/>
  <c r="X28" i="1"/>
  <c r="Y27" i="1"/>
  <c r="W27" i="1"/>
  <c r="U27" i="1"/>
  <c r="Z27" i="1"/>
  <c r="X27" i="1"/>
  <c r="V27" i="1"/>
  <c r="Y12" i="1"/>
  <c r="W12" i="1"/>
  <c r="U12" i="1"/>
  <c r="Z12" i="1"/>
  <c r="V12" i="1"/>
  <c r="X12" i="1"/>
  <c r="Y35" i="1"/>
  <c r="W35" i="1"/>
  <c r="U35" i="1"/>
  <c r="V35" i="1"/>
  <c r="Z35" i="1"/>
  <c r="X35" i="1"/>
  <c r="Z16" i="1"/>
  <c r="X16" i="1"/>
  <c r="V16" i="1"/>
  <c r="W16" i="1"/>
  <c r="Y16" i="1"/>
  <c r="U16" i="1"/>
  <c r="Z13" i="1"/>
  <c r="X13" i="1"/>
  <c r="V13" i="1"/>
  <c r="Y13" i="1"/>
  <c r="W13" i="1"/>
  <c r="U13" i="1"/>
</calcChain>
</file>

<file path=xl/sharedStrings.xml><?xml version="1.0" encoding="utf-8"?>
<sst xmlns="http://schemas.openxmlformats.org/spreadsheetml/2006/main" count="252" uniqueCount="66">
  <si>
    <t>ScenarioNumber</t>
  </si>
  <si>
    <t>Year</t>
  </si>
  <si>
    <t>PopulationGrowth</t>
  </si>
  <si>
    <t>Region</t>
  </si>
  <si>
    <t>WWT_Scenario</t>
  </si>
  <si>
    <t>Zero</t>
  </si>
  <si>
    <t>Rural</t>
  </si>
  <si>
    <t>Suburban</t>
  </si>
  <si>
    <t>Urban</t>
  </si>
  <si>
    <t>API</t>
  </si>
  <si>
    <t>Current</t>
  </si>
  <si>
    <t>Secondary or better</t>
  </si>
  <si>
    <t>Best (all tertiary)</t>
  </si>
  <si>
    <t>Low</t>
  </si>
  <si>
    <t>Main</t>
  </si>
  <si>
    <t>High</t>
  </si>
  <si>
    <t>WW0_%</t>
  </si>
  <si>
    <t>WW1_%</t>
  </si>
  <si>
    <t>WW2_%</t>
  </si>
  <si>
    <t>WW3_%</t>
  </si>
  <si>
    <t>API_min_removal_%</t>
  </si>
  <si>
    <t>API_med_removal_%</t>
  </si>
  <si>
    <t>API_Name</t>
  </si>
  <si>
    <t>min_removal</t>
  </si>
  <si>
    <t>med_removal</t>
  </si>
  <si>
    <t>max_removal</t>
  </si>
  <si>
    <t>mean</t>
  </si>
  <si>
    <t>API_Sales_Weight</t>
  </si>
  <si>
    <t>API_WW0_removal_%</t>
  </si>
  <si>
    <t>API_WWT_removal_%</t>
  </si>
  <si>
    <t>API_WW1_removal_%</t>
  </si>
  <si>
    <t>API_WW2_removal_%</t>
  </si>
  <si>
    <t>API_WW3_removal_%</t>
  </si>
  <si>
    <t>API_max_removal_%</t>
  </si>
  <si>
    <t>County</t>
  </si>
  <si>
    <t>Type</t>
  </si>
  <si>
    <t>Agder</t>
  </si>
  <si>
    <t>Inlanndet</t>
  </si>
  <si>
    <t>Møre &amp; Romsdal</t>
  </si>
  <si>
    <t>Nordland</t>
  </si>
  <si>
    <t>Oslo</t>
  </si>
  <si>
    <t>Rogaland</t>
  </si>
  <si>
    <t>Troms &amp; Finnmark</t>
  </si>
  <si>
    <t>Trøndelag</t>
  </si>
  <si>
    <t>Vestfold &amp; Telemark</t>
  </si>
  <si>
    <t>Vestland</t>
  </si>
  <si>
    <t>Viken</t>
  </si>
  <si>
    <t>Semi-Urban</t>
  </si>
  <si>
    <t>Pop_2020</t>
  </si>
  <si>
    <t>W(L)_2020</t>
  </si>
  <si>
    <t>TWW_Interval</t>
  </si>
  <si>
    <t>Total_WW_2020_GL</t>
  </si>
  <si>
    <t>10-20</t>
  </si>
  <si>
    <t>20-30</t>
  </si>
  <si>
    <t>30-40</t>
  </si>
  <si>
    <t>40-50</t>
  </si>
  <si>
    <t>70-80</t>
  </si>
  <si>
    <t>MPop_x_1.24</t>
  </si>
  <si>
    <t>MPop_x_1.12</t>
  </si>
  <si>
    <t>Rounded_WWT_Removal</t>
  </si>
  <si>
    <t>removal_0.15</t>
  </si>
  <si>
    <t>removal_0.3</t>
  </si>
  <si>
    <t>removal_0.5</t>
  </si>
  <si>
    <t>removal_0.65</t>
  </si>
  <si>
    <t>removal_0.70</t>
  </si>
  <si>
    <t>removal_0.85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</si>
</sst>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3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2" borderId="1" xfId="2"/>
    <xf numFmtId="9" fontId="2" fillId="2" borderId="1" xfId="2" applyNumberFormat="1"/>
    <xf numFmtId="9" fontId="0" fillId="0" borderId="0" xfId="1" quotePrefix="1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49" fontId="0" fillId="0" borderId="0" xfId="0" applyNumberFormat="1"/>
    <xf numFmtId="164" fontId="0" fillId="0" borderId="0" xfId="0" applyNumberFormat="1"/>
    <xf numFmtId="0" fontId="2" fillId="3" borderId="1" xfId="2" applyFill="1"/>
    <xf numFmtId="0" fontId="0" fillId="3" borderId="0" xfId="0" applyFill="1"/>
  </cellXfs>
  <cellStyles count="3"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ML of Water Consumption by County Type, 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ML of Water Consumption by County Type, 2020</a:t>
          </a:r>
        </a:p>
      </cx:txPr>
    </cx:title>
    <cx:plotArea>
      <cx:plotAreaRegion>
        <cx:series layoutId="boxWhisker" uniqueId="{E17CDD63-0D14-46BC-BC13-CBDA1D44ECBF}">
          <cx:tx>
            <cx:txData>
              <cx:f>_xlchart.v1.1</cx:f>
              <cx:v>Total_WW_2020_GL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Population by County Type, 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Population by County Type, 2020</a:t>
          </a:r>
        </a:p>
      </cx:txPr>
    </cx:title>
    <cx:plotArea>
      <cx:plotAreaRegion>
        <cx:series layoutId="boxWhisker" uniqueId="{5B602562-7020-4B0E-BB52-0BE97DD5A0D5}">
          <cx:tx>
            <cx:txData>
              <cx:f>_xlchart.v1.4</cx:f>
              <cx:v>Pop_2020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14</xdr:row>
      <xdr:rowOff>176212</xdr:rowOff>
    </xdr:from>
    <xdr:to>
      <xdr:col>20</xdr:col>
      <xdr:colOff>304800</xdr:colOff>
      <xdr:row>29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84C4FC-F269-459F-BC0E-D8290DB634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0" y="2843212"/>
              <a:ext cx="3067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190500</xdr:colOff>
      <xdr:row>14</xdr:row>
      <xdr:rowOff>166687</xdr:rowOff>
    </xdr:from>
    <xdr:to>
      <xdr:col>15</xdr:col>
      <xdr:colOff>219075</xdr:colOff>
      <xdr:row>29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FCF967-61E8-4CD9-B368-A22BBC49D4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0150" y="2833687"/>
              <a:ext cx="30765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AA7-FC54-4BB7-A8F8-78BB3D786792}">
  <dimension ref="A1:Z37"/>
  <sheetViews>
    <sheetView tabSelected="1" zoomScale="70" zoomScaleNormal="70" workbookViewId="0">
      <pane ySplit="1" topLeftCell="A2" activePane="bottomLeft" state="frozen"/>
      <selection pane="bottomLeft" activeCell="T37" sqref="A1:T37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17.5703125" bestFit="1" customWidth="1"/>
    <col min="4" max="4" width="9.42578125" style="12" bestFit="1" customWidth="1"/>
    <col min="5" max="5" width="18.7109375" bestFit="1" customWidth="1"/>
    <col min="6" max="7" width="8.28515625" style="1" bestFit="1" customWidth="1"/>
    <col min="8" max="9" width="8.28515625" style="1" customWidth="1"/>
    <col min="10" max="10" width="15.28515625" bestFit="1" customWidth="1"/>
    <col min="11" max="11" width="13.140625" customWidth="1"/>
    <col min="12" max="12" width="19.5703125" style="2" bestFit="1" customWidth="1"/>
    <col min="13" max="13" width="20.140625" style="2" bestFit="1" customWidth="1"/>
    <col min="14" max="14" width="19.28515625" style="2" bestFit="1" customWidth="1"/>
    <col min="15" max="18" width="21" style="2" customWidth="1"/>
    <col min="19" max="19" width="21" style="2" bestFit="1" customWidth="1"/>
    <col min="21" max="21" width="13.7109375" bestFit="1" customWidth="1"/>
    <col min="22" max="25" width="15.28515625" bestFit="1" customWidth="1"/>
    <col min="26" max="26" width="12.85546875" bestFit="1" customWidth="1"/>
  </cols>
  <sheetData>
    <row r="1" spans="1:26" s="3" customFormat="1" x14ac:dyDescent="0.2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4" t="s">
        <v>16</v>
      </c>
      <c r="G1" s="4" t="s">
        <v>17</v>
      </c>
      <c r="H1" s="4" t="s">
        <v>18</v>
      </c>
      <c r="I1" s="4" t="s">
        <v>19</v>
      </c>
      <c r="J1" s="3" t="s">
        <v>9</v>
      </c>
      <c r="K1" s="3" t="s">
        <v>27</v>
      </c>
      <c r="L1" s="4" t="s">
        <v>20</v>
      </c>
      <c r="M1" s="4" t="s">
        <v>21</v>
      </c>
      <c r="N1" s="4" t="s">
        <v>33</v>
      </c>
      <c r="O1" s="4" t="s">
        <v>28</v>
      </c>
      <c r="P1" s="4" t="s">
        <v>30</v>
      </c>
      <c r="Q1" s="4" t="s">
        <v>31</v>
      </c>
      <c r="R1" s="4" t="s">
        <v>32</v>
      </c>
      <c r="S1" s="4" t="s">
        <v>29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</row>
    <row r="2" spans="1:26" x14ac:dyDescent="0.25">
      <c r="A2">
        <v>1</v>
      </c>
      <c r="B2">
        <v>2020</v>
      </c>
      <c r="C2" t="s">
        <v>5</v>
      </c>
      <c r="D2" s="12" t="s">
        <v>6</v>
      </c>
      <c r="E2" t="s">
        <v>10</v>
      </c>
      <c r="F2" s="1">
        <v>0.102216406</v>
      </c>
      <c r="G2" s="1">
        <v>0.77464396999999996</v>
      </c>
      <c r="H2" s="1">
        <v>8.5657541000000004E-2</v>
      </c>
      <c r="I2" s="1">
        <v>3.7482082999999999E-2</v>
      </c>
      <c r="J2" t="s">
        <v>26</v>
      </c>
      <c r="K2" t="s">
        <v>13</v>
      </c>
      <c r="L2" s="2">
        <f>MROUND(VLOOKUP(J2,API_Removal_Rates!$A$1:$D$8, 2), 5)/100</f>
        <v>0.1</v>
      </c>
      <c r="M2" s="2">
        <f>MROUND(VLOOKUP(J2,API_Removal_Rates!$A$1:$D$8, 3), 5)/100</f>
        <v>0.5</v>
      </c>
      <c r="N2" s="2">
        <f>MROUND(VLOOKUP(J2,API_Removal_Rates!$A$1:$D$8, 4), 5)/100</f>
        <v>0.85</v>
      </c>
      <c r="O2" s="2">
        <f t="shared" ref="O2:O37" si="0">F2*0</f>
        <v>0</v>
      </c>
      <c r="P2" s="2">
        <f t="shared" ref="P2:P37" si="1">G2*L2</f>
        <v>7.7464397000000004E-2</v>
      </c>
      <c r="Q2" s="2">
        <f t="shared" ref="Q2:Q37" si="2">H2*M2</f>
        <v>4.2828770500000002E-2</v>
      </c>
      <c r="R2" s="2">
        <f>I2*N2</f>
        <v>3.1859770549999999E-2</v>
      </c>
      <c r="S2" s="2">
        <f t="shared" ref="S2:S37" si="3">SUM(O2:R2)</f>
        <v>0.15215293805000002</v>
      </c>
      <c r="T2" s="5" t="str">
        <f t="shared" ref="T2:T37" si="4">_xlfn.CONCAT(MROUND(S2,0.05))</f>
        <v>0.15</v>
      </c>
      <c r="U2">
        <f>IF($T2="0.15",1,0)</f>
        <v>1</v>
      </c>
      <c r="V2">
        <f>IF($T2="0.3",1,0)</f>
        <v>0</v>
      </c>
      <c r="W2">
        <f>IF($T2="0.5",1,0)</f>
        <v>0</v>
      </c>
      <c r="X2">
        <f>IF($T2="0.65",1,0)</f>
        <v>0</v>
      </c>
      <c r="Y2">
        <f>IF($T2="0.7",1,0)</f>
        <v>0</v>
      </c>
      <c r="Z2">
        <f>IF($T2="0.85",1,0)</f>
        <v>0</v>
      </c>
    </row>
    <row r="3" spans="1:26" x14ac:dyDescent="0.25">
      <c r="A3">
        <v>2</v>
      </c>
      <c r="B3">
        <v>2020</v>
      </c>
      <c r="C3" t="s">
        <v>5</v>
      </c>
      <c r="D3" s="12" t="s">
        <v>6</v>
      </c>
      <c r="E3" t="s">
        <v>11</v>
      </c>
      <c r="F3" s="1">
        <v>0</v>
      </c>
      <c r="G3" s="1">
        <v>0</v>
      </c>
      <c r="H3" s="1">
        <v>0.96</v>
      </c>
      <c r="I3" s="1">
        <v>3.7482082999999999E-2</v>
      </c>
      <c r="J3" t="s">
        <v>26</v>
      </c>
      <c r="K3" t="s">
        <v>13</v>
      </c>
      <c r="L3" s="2">
        <f>MROUND(VLOOKUP(J3,API_Removal_Rates!$A$1:$D$8, 2), 5)/100</f>
        <v>0.1</v>
      </c>
      <c r="M3" s="2">
        <f>MROUND(VLOOKUP(J3,API_Removal_Rates!$A$1:$D$8, 3), 5)/100</f>
        <v>0.5</v>
      </c>
      <c r="N3" s="2">
        <f>MROUND(VLOOKUP(J3,API_Removal_Rates!$A$1:$D$8, 4), 5)/100</f>
        <v>0.85</v>
      </c>
      <c r="O3" s="2">
        <f t="shared" si="0"/>
        <v>0</v>
      </c>
      <c r="P3" s="2">
        <f t="shared" si="1"/>
        <v>0</v>
      </c>
      <c r="Q3" s="2">
        <f t="shared" si="2"/>
        <v>0.48</v>
      </c>
      <c r="R3" s="2">
        <f t="shared" ref="R3:R37" si="5">I3*N3</f>
        <v>3.1859770549999999E-2</v>
      </c>
      <c r="S3" s="2">
        <f t="shared" si="3"/>
        <v>0.51185977054999998</v>
      </c>
      <c r="T3" s="5" t="str">
        <f t="shared" si="4"/>
        <v>0.5</v>
      </c>
      <c r="U3">
        <f t="shared" ref="U3:U37" si="6">IF($T3="0.15",1,0)</f>
        <v>0</v>
      </c>
      <c r="V3">
        <f t="shared" ref="V3:V37" si="7">IF($T3="0.3",1,0)</f>
        <v>0</v>
      </c>
      <c r="W3">
        <f t="shared" ref="W3:W37" si="8">IF($T3="0.5",1,0)</f>
        <v>1</v>
      </c>
      <c r="X3">
        <f t="shared" ref="X3:X37" si="9">IF($T3="0.65",1,0)</f>
        <v>0</v>
      </c>
      <c r="Y3">
        <f t="shared" ref="Y3:Y37" si="10">IF($T3="0.7",1,0)</f>
        <v>0</v>
      </c>
      <c r="Z3">
        <f t="shared" ref="Z3:Z37" si="11">IF($T3="0.85",1,0)</f>
        <v>0</v>
      </c>
    </row>
    <row r="4" spans="1:26" x14ac:dyDescent="0.25">
      <c r="A4">
        <v>3</v>
      </c>
      <c r="B4">
        <v>2020</v>
      </c>
      <c r="C4" t="s">
        <v>5</v>
      </c>
      <c r="D4" s="12" t="s">
        <v>6</v>
      </c>
      <c r="E4" t="s">
        <v>12</v>
      </c>
      <c r="F4" s="1">
        <v>0</v>
      </c>
      <c r="G4" s="1">
        <v>0</v>
      </c>
      <c r="H4" s="1">
        <v>0</v>
      </c>
      <c r="I4" s="1">
        <v>1</v>
      </c>
      <c r="J4" t="s">
        <v>26</v>
      </c>
      <c r="K4" t="s">
        <v>13</v>
      </c>
      <c r="L4" s="2">
        <f>MROUND(VLOOKUP(J4,API_Removal_Rates!$A$1:$D$8, 2), 5)/100</f>
        <v>0.1</v>
      </c>
      <c r="M4" s="2">
        <f>MROUND(VLOOKUP(J4,API_Removal_Rates!$A$1:$D$8, 3), 5)/100</f>
        <v>0.5</v>
      </c>
      <c r="N4" s="2">
        <f>MROUND(VLOOKUP(J4,API_Removal_Rates!$A$1:$D$8, 4), 5)/100</f>
        <v>0.85</v>
      </c>
      <c r="O4" s="2">
        <f t="shared" si="0"/>
        <v>0</v>
      </c>
      <c r="P4" s="2">
        <f t="shared" si="1"/>
        <v>0</v>
      </c>
      <c r="Q4" s="2">
        <f t="shared" si="2"/>
        <v>0</v>
      </c>
      <c r="R4" s="2">
        <f t="shared" si="5"/>
        <v>0.85</v>
      </c>
      <c r="S4" s="2">
        <f t="shared" si="3"/>
        <v>0.85</v>
      </c>
      <c r="T4" s="5" t="str">
        <f t="shared" si="4"/>
        <v>0.85</v>
      </c>
      <c r="U4">
        <f t="shared" si="6"/>
        <v>0</v>
      </c>
      <c r="V4">
        <f t="shared" si="7"/>
        <v>0</v>
      </c>
      <c r="W4">
        <f t="shared" si="8"/>
        <v>0</v>
      </c>
      <c r="X4">
        <f t="shared" si="9"/>
        <v>0</v>
      </c>
      <c r="Y4">
        <f t="shared" si="10"/>
        <v>0</v>
      </c>
      <c r="Z4">
        <f t="shared" si="11"/>
        <v>1</v>
      </c>
    </row>
    <row r="5" spans="1:26" x14ac:dyDescent="0.25">
      <c r="A5">
        <v>4</v>
      </c>
      <c r="B5">
        <v>2050</v>
      </c>
      <c r="C5" t="s">
        <v>13</v>
      </c>
      <c r="D5" s="12" t="s">
        <v>6</v>
      </c>
      <c r="E5" t="s">
        <v>10</v>
      </c>
      <c r="F5" s="1">
        <v>0.102216406</v>
      </c>
      <c r="G5" s="1">
        <v>0.77464396999999996</v>
      </c>
      <c r="H5" s="1">
        <v>8.5657541000000004E-2</v>
      </c>
      <c r="I5" s="1">
        <v>3.7482082999999999E-2</v>
      </c>
      <c r="J5" t="s">
        <v>26</v>
      </c>
      <c r="K5" t="s">
        <v>13</v>
      </c>
      <c r="L5" s="2">
        <f>MROUND(VLOOKUP(J5,API_Removal_Rates!$A$1:$D$8, 2), 5)/100</f>
        <v>0.1</v>
      </c>
      <c r="M5" s="2">
        <f>MROUND(VLOOKUP(J5,API_Removal_Rates!$A$1:$D$8, 3), 5)/100</f>
        <v>0.5</v>
      </c>
      <c r="N5" s="2">
        <f>MROUND(VLOOKUP(J5,API_Removal_Rates!$A$1:$D$8, 4), 5)/100</f>
        <v>0.85</v>
      </c>
      <c r="O5" s="2">
        <f t="shared" si="0"/>
        <v>0</v>
      </c>
      <c r="P5" s="2">
        <f t="shared" si="1"/>
        <v>7.7464397000000004E-2</v>
      </c>
      <c r="Q5" s="2">
        <f t="shared" si="2"/>
        <v>4.2828770500000002E-2</v>
      </c>
      <c r="R5" s="2">
        <f t="shared" si="5"/>
        <v>3.1859770549999999E-2</v>
      </c>
      <c r="S5" s="2">
        <f t="shared" si="3"/>
        <v>0.15215293805000002</v>
      </c>
      <c r="T5" s="5" t="str">
        <f t="shared" si="4"/>
        <v>0.15</v>
      </c>
      <c r="U5">
        <f t="shared" si="6"/>
        <v>1</v>
      </c>
      <c r="V5">
        <f t="shared" si="7"/>
        <v>0</v>
      </c>
      <c r="W5">
        <f t="shared" si="8"/>
        <v>0</v>
      </c>
      <c r="X5">
        <f t="shared" si="9"/>
        <v>0</v>
      </c>
      <c r="Y5">
        <f t="shared" si="10"/>
        <v>0</v>
      </c>
      <c r="Z5">
        <f t="shared" si="11"/>
        <v>0</v>
      </c>
    </row>
    <row r="6" spans="1:26" x14ac:dyDescent="0.25">
      <c r="A6">
        <v>5</v>
      </c>
      <c r="B6">
        <v>2050</v>
      </c>
      <c r="C6" t="s">
        <v>13</v>
      </c>
      <c r="D6" s="12" t="s">
        <v>6</v>
      </c>
      <c r="E6" t="s">
        <v>11</v>
      </c>
      <c r="F6" s="1">
        <v>0</v>
      </c>
      <c r="G6" s="1">
        <v>0</v>
      </c>
      <c r="H6" s="1">
        <v>0.96</v>
      </c>
      <c r="I6" s="1">
        <v>3.7482082999999999E-2</v>
      </c>
      <c r="J6" t="s">
        <v>26</v>
      </c>
      <c r="K6" t="s">
        <v>13</v>
      </c>
      <c r="L6" s="2">
        <f>MROUND(VLOOKUP(J6,API_Removal_Rates!$A$1:$D$8, 2), 5)/100</f>
        <v>0.1</v>
      </c>
      <c r="M6" s="2">
        <f>MROUND(VLOOKUP(J6,API_Removal_Rates!$A$1:$D$8, 3), 5)/100</f>
        <v>0.5</v>
      </c>
      <c r="N6" s="2">
        <f>MROUND(VLOOKUP(J6,API_Removal_Rates!$A$1:$D$8, 4), 5)/100</f>
        <v>0.85</v>
      </c>
      <c r="O6" s="2">
        <f t="shared" si="0"/>
        <v>0</v>
      </c>
      <c r="P6" s="2">
        <f t="shared" si="1"/>
        <v>0</v>
      </c>
      <c r="Q6" s="2">
        <f t="shared" si="2"/>
        <v>0.48</v>
      </c>
      <c r="R6" s="2">
        <f t="shared" si="5"/>
        <v>3.1859770549999999E-2</v>
      </c>
      <c r="S6" s="2">
        <f t="shared" si="3"/>
        <v>0.51185977054999998</v>
      </c>
      <c r="T6" s="5" t="str">
        <f t="shared" si="4"/>
        <v>0.5</v>
      </c>
      <c r="U6">
        <f t="shared" si="6"/>
        <v>0</v>
      </c>
      <c r="V6">
        <f t="shared" si="7"/>
        <v>0</v>
      </c>
      <c r="W6">
        <f t="shared" si="8"/>
        <v>1</v>
      </c>
      <c r="X6">
        <f t="shared" si="9"/>
        <v>0</v>
      </c>
      <c r="Y6">
        <f t="shared" si="10"/>
        <v>0</v>
      </c>
      <c r="Z6">
        <f t="shared" si="11"/>
        <v>0</v>
      </c>
    </row>
    <row r="7" spans="1:26" x14ac:dyDescent="0.25">
      <c r="A7">
        <v>6</v>
      </c>
      <c r="B7">
        <v>2050</v>
      </c>
      <c r="C7" t="s">
        <v>13</v>
      </c>
      <c r="D7" s="12" t="s">
        <v>6</v>
      </c>
      <c r="E7" t="s">
        <v>12</v>
      </c>
      <c r="F7" s="1">
        <v>0</v>
      </c>
      <c r="G7" s="1">
        <v>0</v>
      </c>
      <c r="H7" s="1">
        <v>0</v>
      </c>
      <c r="I7" s="1">
        <v>1</v>
      </c>
      <c r="J7" t="s">
        <v>26</v>
      </c>
      <c r="K7" t="s">
        <v>13</v>
      </c>
      <c r="L7" s="2">
        <f>MROUND(VLOOKUP(J7,API_Removal_Rates!$A$1:$D$8, 2), 5)/100</f>
        <v>0.1</v>
      </c>
      <c r="M7" s="2">
        <f>MROUND(VLOOKUP(J7,API_Removal_Rates!$A$1:$D$8, 3), 5)/100</f>
        <v>0.5</v>
      </c>
      <c r="N7" s="2">
        <f>MROUND(VLOOKUP(J7,API_Removal_Rates!$A$1:$D$8, 4), 5)/100</f>
        <v>0.85</v>
      </c>
      <c r="O7" s="2">
        <f t="shared" si="0"/>
        <v>0</v>
      </c>
      <c r="P7" s="2">
        <f t="shared" si="1"/>
        <v>0</v>
      </c>
      <c r="Q7" s="2">
        <f t="shared" si="2"/>
        <v>0</v>
      </c>
      <c r="R7" s="2">
        <f t="shared" si="5"/>
        <v>0.85</v>
      </c>
      <c r="S7" s="2">
        <f t="shared" si="3"/>
        <v>0.85</v>
      </c>
      <c r="T7" s="5" t="str">
        <f t="shared" si="4"/>
        <v>0.85</v>
      </c>
      <c r="U7">
        <f t="shared" si="6"/>
        <v>0</v>
      </c>
      <c r="V7">
        <f t="shared" si="7"/>
        <v>0</v>
      </c>
      <c r="W7">
        <f t="shared" si="8"/>
        <v>0</v>
      </c>
      <c r="X7">
        <f t="shared" si="9"/>
        <v>0</v>
      </c>
      <c r="Y7">
        <f t="shared" si="10"/>
        <v>0</v>
      </c>
      <c r="Z7">
        <f t="shared" si="11"/>
        <v>1</v>
      </c>
    </row>
    <row r="8" spans="1:26" x14ac:dyDescent="0.25">
      <c r="A8">
        <v>7</v>
      </c>
      <c r="B8">
        <v>2050</v>
      </c>
      <c r="C8" t="s">
        <v>14</v>
      </c>
      <c r="D8" s="12" t="s">
        <v>6</v>
      </c>
      <c r="E8" t="s">
        <v>10</v>
      </c>
      <c r="F8" s="1">
        <v>0.102216406</v>
      </c>
      <c r="G8" s="1">
        <v>0.77464396999999996</v>
      </c>
      <c r="H8" s="1">
        <v>8.5657541000000004E-2</v>
      </c>
      <c r="I8" s="1">
        <v>3.7482082999999999E-2</v>
      </c>
      <c r="J8" t="s">
        <v>26</v>
      </c>
      <c r="K8" t="s">
        <v>13</v>
      </c>
      <c r="L8" s="2">
        <f>MROUND(VLOOKUP(J8,API_Removal_Rates!$A$1:$D$8, 2), 5)/100</f>
        <v>0.1</v>
      </c>
      <c r="M8" s="2">
        <f>MROUND(VLOOKUP(J8,API_Removal_Rates!$A$1:$D$8, 3), 5)/100</f>
        <v>0.5</v>
      </c>
      <c r="N8" s="2">
        <f>MROUND(VLOOKUP(J8,API_Removal_Rates!$A$1:$D$8, 4), 5)/100</f>
        <v>0.85</v>
      </c>
      <c r="O8" s="2">
        <f t="shared" si="0"/>
        <v>0</v>
      </c>
      <c r="P8" s="2">
        <f t="shared" si="1"/>
        <v>7.7464397000000004E-2</v>
      </c>
      <c r="Q8" s="2">
        <f t="shared" si="2"/>
        <v>4.2828770500000002E-2</v>
      </c>
      <c r="R8" s="2">
        <f t="shared" si="5"/>
        <v>3.1859770549999999E-2</v>
      </c>
      <c r="S8" s="2">
        <f t="shared" si="3"/>
        <v>0.15215293805000002</v>
      </c>
      <c r="T8" s="5" t="str">
        <f t="shared" si="4"/>
        <v>0.15</v>
      </c>
      <c r="U8">
        <f t="shared" si="6"/>
        <v>1</v>
      </c>
      <c r="V8">
        <f t="shared" si="7"/>
        <v>0</v>
      </c>
      <c r="W8">
        <f t="shared" si="8"/>
        <v>0</v>
      </c>
      <c r="X8">
        <f t="shared" si="9"/>
        <v>0</v>
      </c>
      <c r="Y8">
        <f t="shared" si="10"/>
        <v>0</v>
      </c>
      <c r="Z8">
        <f t="shared" si="11"/>
        <v>0</v>
      </c>
    </row>
    <row r="9" spans="1:26" x14ac:dyDescent="0.25">
      <c r="A9">
        <v>8</v>
      </c>
      <c r="B9">
        <v>2050</v>
      </c>
      <c r="C9" t="s">
        <v>14</v>
      </c>
      <c r="D9" s="12" t="s">
        <v>6</v>
      </c>
      <c r="E9" t="s">
        <v>11</v>
      </c>
      <c r="F9" s="1">
        <v>0</v>
      </c>
      <c r="G9" s="1">
        <v>0</v>
      </c>
      <c r="H9" s="1">
        <v>0.96</v>
      </c>
      <c r="I9" s="1">
        <v>3.7482082999999999E-2</v>
      </c>
      <c r="J9" t="s">
        <v>26</v>
      </c>
      <c r="K9" t="s">
        <v>13</v>
      </c>
      <c r="L9" s="2">
        <f>MROUND(VLOOKUP(J9,API_Removal_Rates!$A$1:$D$8, 2), 5)/100</f>
        <v>0.1</v>
      </c>
      <c r="M9" s="2">
        <f>MROUND(VLOOKUP(J9,API_Removal_Rates!$A$1:$D$8, 3), 5)/100</f>
        <v>0.5</v>
      </c>
      <c r="N9" s="2">
        <f>MROUND(VLOOKUP(J9,API_Removal_Rates!$A$1:$D$8, 4), 5)/100</f>
        <v>0.85</v>
      </c>
      <c r="O9" s="2">
        <f t="shared" si="0"/>
        <v>0</v>
      </c>
      <c r="P9" s="2">
        <f t="shared" si="1"/>
        <v>0</v>
      </c>
      <c r="Q9" s="2">
        <f t="shared" si="2"/>
        <v>0.48</v>
      </c>
      <c r="R9" s="2">
        <f t="shared" si="5"/>
        <v>3.1859770549999999E-2</v>
      </c>
      <c r="S9" s="2">
        <f t="shared" si="3"/>
        <v>0.51185977054999998</v>
      </c>
      <c r="T9" s="5" t="str">
        <f t="shared" si="4"/>
        <v>0.5</v>
      </c>
      <c r="U9">
        <f t="shared" si="6"/>
        <v>0</v>
      </c>
      <c r="V9">
        <f t="shared" si="7"/>
        <v>0</v>
      </c>
      <c r="W9">
        <f t="shared" si="8"/>
        <v>1</v>
      </c>
      <c r="X9">
        <f t="shared" si="9"/>
        <v>0</v>
      </c>
      <c r="Y9">
        <f t="shared" si="10"/>
        <v>0</v>
      </c>
      <c r="Z9">
        <f t="shared" si="11"/>
        <v>0</v>
      </c>
    </row>
    <row r="10" spans="1:26" x14ac:dyDescent="0.25">
      <c r="A10">
        <v>9</v>
      </c>
      <c r="B10">
        <v>2050</v>
      </c>
      <c r="C10" t="s">
        <v>14</v>
      </c>
      <c r="D10" s="12" t="s">
        <v>6</v>
      </c>
      <c r="E10" t="s">
        <v>12</v>
      </c>
      <c r="F10" s="1">
        <v>0</v>
      </c>
      <c r="G10" s="1">
        <v>0</v>
      </c>
      <c r="H10" s="1">
        <v>0</v>
      </c>
      <c r="I10" s="1">
        <v>1</v>
      </c>
      <c r="J10" t="s">
        <v>26</v>
      </c>
      <c r="K10" t="s">
        <v>13</v>
      </c>
      <c r="L10" s="2">
        <f>MROUND(VLOOKUP(J10,API_Removal_Rates!$A$1:$D$8, 2), 5)/100</f>
        <v>0.1</v>
      </c>
      <c r="M10" s="2">
        <f>MROUND(VLOOKUP(J10,API_Removal_Rates!$A$1:$D$8, 3), 5)/100</f>
        <v>0.5</v>
      </c>
      <c r="N10" s="2">
        <f>MROUND(VLOOKUP(J10,API_Removal_Rates!$A$1:$D$8, 4), 5)/100</f>
        <v>0.85</v>
      </c>
      <c r="O10" s="2">
        <f t="shared" si="0"/>
        <v>0</v>
      </c>
      <c r="P10" s="2">
        <f t="shared" si="1"/>
        <v>0</v>
      </c>
      <c r="Q10" s="2">
        <f t="shared" si="2"/>
        <v>0</v>
      </c>
      <c r="R10" s="2">
        <f t="shared" si="5"/>
        <v>0.85</v>
      </c>
      <c r="S10" s="2">
        <f t="shared" si="3"/>
        <v>0.85</v>
      </c>
      <c r="T10" s="5" t="str">
        <f t="shared" si="4"/>
        <v>0.85</v>
      </c>
      <c r="U10">
        <f t="shared" si="6"/>
        <v>0</v>
      </c>
      <c r="V10">
        <f t="shared" si="7"/>
        <v>0</v>
      </c>
      <c r="W10">
        <f t="shared" si="8"/>
        <v>0</v>
      </c>
      <c r="X10">
        <f t="shared" si="9"/>
        <v>0</v>
      </c>
      <c r="Y10">
        <f t="shared" si="10"/>
        <v>0</v>
      </c>
      <c r="Z10">
        <f t="shared" si="11"/>
        <v>1</v>
      </c>
    </row>
    <row r="11" spans="1:26" x14ac:dyDescent="0.25">
      <c r="A11">
        <v>10</v>
      </c>
      <c r="B11">
        <v>2050</v>
      </c>
      <c r="C11" t="s">
        <v>15</v>
      </c>
      <c r="D11" s="12" t="s">
        <v>6</v>
      </c>
      <c r="E11" t="s">
        <v>10</v>
      </c>
      <c r="F11" s="1">
        <v>0.102216406</v>
      </c>
      <c r="G11" s="1">
        <v>0.77464396999999996</v>
      </c>
      <c r="H11" s="1">
        <v>8.5657541000000004E-2</v>
      </c>
      <c r="I11" s="1">
        <v>3.7482082999999999E-2</v>
      </c>
      <c r="J11" t="s">
        <v>26</v>
      </c>
      <c r="K11" t="s">
        <v>13</v>
      </c>
      <c r="L11" s="2">
        <f>MROUND(VLOOKUP(J11,API_Removal_Rates!$A$1:$D$8, 2), 5)/100</f>
        <v>0.1</v>
      </c>
      <c r="M11" s="2">
        <f>MROUND(VLOOKUP(J11,API_Removal_Rates!$A$1:$D$8, 3), 5)/100</f>
        <v>0.5</v>
      </c>
      <c r="N11" s="2">
        <f>MROUND(VLOOKUP(J11,API_Removal_Rates!$A$1:$D$8, 4), 5)/100</f>
        <v>0.85</v>
      </c>
      <c r="O11" s="2">
        <f t="shared" si="0"/>
        <v>0</v>
      </c>
      <c r="P11" s="2">
        <f t="shared" si="1"/>
        <v>7.7464397000000004E-2</v>
      </c>
      <c r="Q11" s="2">
        <f t="shared" si="2"/>
        <v>4.2828770500000002E-2</v>
      </c>
      <c r="R11" s="2">
        <f t="shared" si="5"/>
        <v>3.1859770549999999E-2</v>
      </c>
      <c r="S11" s="2">
        <f t="shared" si="3"/>
        <v>0.15215293805000002</v>
      </c>
      <c r="T11" s="5" t="str">
        <f t="shared" si="4"/>
        <v>0.15</v>
      </c>
      <c r="U11">
        <f t="shared" si="6"/>
        <v>1</v>
      </c>
      <c r="V11">
        <f t="shared" si="7"/>
        <v>0</v>
      </c>
      <c r="W11">
        <f t="shared" si="8"/>
        <v>0</v>
      </c>
      <c r="X11">
        <f t="shared" si="9"/>
        <v>0</v>
      </c>
      <c r="Y11">
        <f t="shared" si="10"/>
        <v>0</v>
      </c>
      <c r="Z11">
        <f t="shared" si="11"/>
        <v>0</v>
      </c>
    </row>
    <row r="12" spans="1:26" x14ac:dyDescent="0.25">
      <c r="A12">
        <v>11</v>
      </c>
      <c r="B12">
        <v>2050</v>
      </c>
      <c r="C12" t="s">
        <v>15</v>
      </c>
      <c r="D12" s="12" t="s">
        <v>6</v>
      </c>
      <c r="E12" t="s">
        <v>11</v>
      </c>
      <c r="F12" s="1">
        <v>0</v>
      </c>
      <c r="G12" s="1">
        <v>0</v>
      </c>
      <c r="H12" s="1">
        <v>0.96</v>
      </c>
      <c r="I12" s="1">
        <v>3.7482082999999999E-2</v>
      </c>
      <c r="J12" t="s">
        <v>26</v>
      </c>
      <c r="K12" t="s">
        <v>13</v>
      </c>
      <c r="L12" s="2">
        <f>MROUND(VLOOKUP(J12,API_Removal_Rates!$A$1:$D$8, 2), 5)/100</f>
        <v>0.1</v>
      </c>
      <c r="M12" s="2">
        <f>MROUND(VLOOKUP(J12,API_Removal_Rates!$A$1:$D$8, 3), 5)/100</f>
        <v>0.5</v>
      </c>
      <c r="N12" s="2">
        <f>MROUND(VLOOKUP(J12,API_Removal_Rates!$A$1:$D$8, 4), 5)/100</f>
        <v>0.85</v>
      </c>
      <c r="O12" s="2">
        <f t="shared" si="0"/>
        <v>0</v>
      </c>
      <c r="P12" s="2">
        <f t="shared" si="1"/>
        <v>0</v>
      </c>
      <c r="Q12" s="2">
        <f t="shared" si="2"/>
        <v>0.48</v>
      </c>
      <c r="R12" s="2">
        <f t="shared" si="5"/>
        <v>3.1859770549999999E-2</v>
      </c>
      <c r="S12" s="2">
        <f t="shared" si="3"/>
        <v>0.51185977054999998</v>
      </c>
      <c r="T12" s="5" t="str">
        <f t="shared" si="4"/>
        <v>0.5</v>
      </c>
      <c r="U12">
        <f t="shared" si="6"/>
        <v>0</v>
      </c>
      <c r="V12">
        <f t="shared" si="7"/>
        <v>0</v>
      </c>
      <c r="W12">
        <f t="shared" si="8"/>
        <v>1</v>
      </c>
      <c r="X12">
        <f t="shared" si="9"/>
        <v>0</v>
      </c>
      <c r="Y12">
        <f t="shared" si="10"/>
        <v>0</v>
      </c>
      <c r="Z12">
        <f t="shared" si="11"/>
        <v>0</v>
      </c>
    </row>
    <row r="13" spans="1:26" x14ac:dyDescent="0.25">
      <c r="A13">
        <v>12</v>
      </c>
      <c r="B13">
        <v>2050</v>
      </c>
      <c r="C13" t="s">
        <v>15</v>
      </c>
      <c r="D13" s="12" t="s">
        <v>6</v>
      </c>
      <c r="E13" t="s">
        <v>12</v>
      </c>
      <c r="F13" s="1">
        <v>0</v>
      </c>
      <c r="G13" s="1">
        <v>0</v>
      </c>
      <c r="H13" s="1">
        <v>0</v>
      </c>
      <c r="I13" s="1">
        <v>1</v>
      </c>
      <c r="J13" t="s">
        <v>26</v>
      </c>
      <c r="K13" t="s">
        <v>13</v>
      </c>
      <c r="L13" s="2">
        <f>MROUND(VLOOKUP(J13,API_Removal_Rates!$A$1:$D$8, 2), 5)/100</f>
        <v>0.1</v>
      </c>
      <c r="M13" s="2">
        <f>MROUND(VLOOKUP(J13,API_Removal_Rates!$A$1:$D$8, 3), 5)/100</f>
        <v>0.5</v>
      </c>
      <c r="N13" s="2">
        <f>MROUND(VLOOKUP(J13,API_Removal_Rates!$A$1:$D$8, 4), 5)/100</f>
        <v>0.85</v>
      </c>
      <c r="O13" s="2">
        <f t="shared" si="0"/>
        <v>0</v>
      </c>
      <c r="P13" s="2">
        <f t="shared" si="1"/>
        <v>0</v>
      </c>
      <c r="Q13" s="2">
        <f t="shared" si="2"/>
        <v>0</v>
      </c>
      <c r="R13" s="2">
        <f t="shared" si="5"/>
        <v>0.85</v>
      </c>
      <c r="S13" s="2">
        <f t="shared" si="3"/>
        <v>0.85</v>
      </c>
      <c r="T13" s="5" t="str">
        <f t="shared" si="4"/>
        <v>0.85</v>
      </c>
      <c r="U13">
        <f t="shared" si="6"/>
        <v>0</v>
      </c>
      <c r="V13">
        <f t="shared" si="7"/>
        <v>0</v>
      </c>
      <c r="W13">
        <f t="shared" si="8"/>
        <v>0</v>
      </c>
      <c r="X13">
        <f t="shared" si="9"/>
        <v>0</v>
      </c>
      <c r="Y13">
        <f t="shared" si="10"/>
        <v>0</v>
      </c>
      <c r="Z13">
        <f t="shared" si="11"/>
        <v>1</v>
      </c>
    </row>
    <row r="14" spans="1:26" x14ac:dyDescent="0.25">
      <c r="A14">
        <v>13</v>
      </c>
      <c r="B14">
        <v>2020</v>
      </c>
      <c r="C14" t="s">
        <v>5</v>
      </c>
      <c r="D14" s="12" t="s">
        <v>7</v>
      </c>
      <c r="E14" t="s">
        <v>10</v>
      </c>
      <c r="F14" s="1">
        <v>5.5391850000000003E-3</v>
      </c>
      <c r="G14" s="1">
        <v>0.56266527</v>
      </c>
      <c r="H14" s="1">
        <v>0.38232802999999999</v>
      </c>
      <c r="I14" s="1">
        <v>4.9467509999999999E-2</v>
      </c>
      <c r="J14" t="s">
        <v>26</v>
      </c>
      <c r="K14" t="s">
        <v>13</v>
      </c>
      <c r="L14" s="2">
        <f>MROUND(VLOOKUP(J14,API_Removal_Rates!$A$1:$D$8, 2), 5)/100</f>
        <v>0.1</v>
      </c>
      <c r="M14" s="2">
        <f>MROUND(VLOOKUP(J14,API_Removal_Rates!$A$1:$D$8, 3), 5)/100</f>
        <v>0.5</v>
      </c>
      <c r="N14" s="2">
        <f>MROUND(VLOOKUP(J14,API_Removal_Rates!$A$1:$D$8, 4), 5)/100</f>
        <v>0.85</v>
      </c>
      <c r="O14" s="2">
        <f t="shared" si="0"/>
        <v>0</v>
      </c>
      <c r="P14" s="2">
        <f t="shared" si="1"/>
        <v>5.6266527000000004E-2</v>
      </c>
      <c r="Q14" s="2">
        <f t="shared" si="2"/>
        <v>0.19116401499999999</v>
      </c>
      <c r="R14" s="2">
        <f t="shared" si="5"/>
        <v>4.20473835E-2</v>
      </c>
      <c r="S14" s="2">
        <f t="shared" si="3"/>
        <v>0.28947792550000001</v>
      </c>
      <c r="T14" s="5" t="str">
        <f t="shared" si="4"/>
        <v>0.3</v>
      </c>
      <c r="U14">
        <f t="shared" si="6"/>
        <v>0</v>
      </c>
      <c r="V14">
        <f t="shared" si="7"/>
        <v>1</v>
      </c>
      <c r="W14">
        <f t="shared" si="8"/>
        <v>0</v>
      </c>
      <c r="X14">
        <f t="shared" si="9"/>
        <v>0</v>
      </c>
      <c r="Y14">
        <f t="shared" si="10"/>
        <v>0</v>
      </c>
      <c r="Z14">
        <f t="shared" si="11"/>
        <v>0</v>
      </c>
    </row>
    <row r="15" spans="1:26" x14ac:dyDescent="0.25">
      <c r="A15">
        <v>14</v>
      </c>
      <c r="B15">
        <v>2020</v>
      </c>
      <c r="C15" t="s">
        <v>5</v>
      </c>
      <c r="D15" s="12" t="s">
        <v>7</v>
      </c>
      <c r="E15" t="s">
        <v>11</v>
      </c>
      <c r="F15" s="1">
        <v>0</v>
      </c>
      <c r="G15" s="1">
        <v>0</v>
      </c>
      <c r="H15" s="1">
        <v>0.95</v>
      </c>
      <c r="I15" s="1">
        <v>4.9467509999999999E-2</v>
      </c>
      <c r="J15" t="s">
        <v>26</v>
      </c>
      <c r="K15" t="s">
        <v>13</v>
      </c>
      <c r="L15" s="2">
        <f>MROUND(VLOOKUP(J15,API_Removal_Rates!$A$1:$D$8, 2), 5)/100</f>
        <v>0.1</v>
      </c>
      <c r="M15" s="2">
        <f>MROUND(VLOOKUP(J15,API_Removal_Rates!$A$1:$D$8, 3), 5)/100</f>
        <v>0.5</v>
      </c>
      <c r="N15" s="2">
        <f>MROUND(VLOOKUP(J15,API_Removal_Rates!$A$1:$D$8, 4), 5)/100</f>
        <v>0.85</v>
      </c>
      <c r="O15" s="2">
        <f t="shared" si="0"/>
        <v>0</v>
      </c>
      <c r="P15" s="2">
        <f t="shared" si="1"/>
        <v>0</v>
      </c>
      <c r="Q15" s="2">
        <f t="shared" si="2"/>
        <v>0.47499999999999998</v>
      </c>
      <c r="R15" s="2">
        <f t="shared" si="5"/>
        <v>4.20473835E-2</v>
      </c>
      <c r="S15" s="2">
        <f t="shared" si="3"/>
        <v>0.51704738350000001</v>
      </c>
      <c r="T15" s="5" t="str">
        <f t="shared" si="4"/>
        <v>0.5</v>
      </c>
      <c r="U15">
        <f t="shared" si="6"/>
        <v>0</v>
      </c>
      <c r="V15">
        <f t="shared" si="7"/>
        <v>0</v>
      </c>
      <c r="W15">
        <f t="shared" si="8"/>
        <v>1</v>
      </c>
      <c r="X15">
        <f t="shared" si="9"/>
        <v>0</v>
      </c>
      <c r="Y15">
        <f t="shared" si="10"/>
        <v>0</v>
      </c>
      <c r="Z15">
        <f t="shared" si="11"/>
        <v>0</v>
      </c>
    </row>
    <row r="16" spans="1:26" x14ac:dyDescent="0.25">
      <c r="A16">
        <v>15</v>
      </c>
      <c r="B16">
        <v>2020</v>
      </c>
      <c r="C16" t="s">
        <v>5</v>
      </c>
      <c r="D16" s="12" t="s">
        <v>7</v>
      </c>
      <c r="E16" t="s">
        <v>12</v>
      </c>
      <c r="F16" s="1">
        <v>0</v>
      </c>
      <c r="G16" s="1">
        <v>0</v>
      </c>
      <c r="H16" s="1">
        <v>0</v>
      </c>
      <c r="I16" s="1">
        <v>1</v>
      </c>
      <c r="J16" t="s">
        <v>26</v>
      </c>
      <c r="K16" t="s">
        <v>13</v>
      </c>
      <c r="L16" s="2">
        <f>MROUND(VLOOKUP(J16,API_Removal_Rates!$A$1:$D$8, 2), 5)/100</f>
        <v>0.1</v>
      </c>
      <c r="M16" s="2">
        <f>MROUND(VLOOKUP(J16,API_Removal_Rates!$A$1:$D$8, 3), 5)/100</f>
        <v>0.5</v>
      </c>
      <c r="N16" s="2">
        <f>MROUND(VLOOKUP(J16,API_Removal_Rates!$A$1:$D$8, 4), 5)/100</f>
        <v>0.85</v>
      </c>
      <c r="O16" s="2">
        <f t="shared" si="0"/>
        <v>0</v>
      </c>
      <c r="P16" s="2">
        <f t="shared" si="1"/>
        <v>0</v>
      </c>
      <c r="Q16" s="2">
        <f t="shared" si="2"/>
        <v>0</v>
      </c>
      <c r="R16" s="2">
        <f t="shared" si="5"/>
        <v>0.85</v>
      </c>
      <c r="S16" s="2">
        <f t="shared" si="3"/>
        <v>0.85</v>
      </c>
      <c r="T16" s="5" t="str">
        <f t="shared" si="4"/>
        <v>0.85</v>
      </c>
      <c r="U16">
        <f t="shared" si="6"/>
        <v>0</v>
      </c>
      <c r="V16">
        <f t="shared" si="7"/>
        <v>0</v>
      </c>
      <c r="W16">
        <f t="shared" si="8"/>
        <v>0</v>
      </c>
      <c r="X16">
        <f t="shared" si="9"/>
        <v>0</v>
      </c>
      <c r="Y16">
        <f t="shared" si="10"/>
        <v>0</v>
      </c>
      <c r="Z16">
        <f t="shared" si="11"/>
        <v>1</v>
      </c>
    </row>
    <row r="17" spans="1:26" x14ac:dyDescent="0.25">
      <c r="A17">
        <v>16</v>
      </c>
      <c r="B17">
        <v>2050</v>
      </c>
      <c r="C17" t="s">
        <v>13</v>
      </c>
      <c r="D17" s="12" t="s">
        <v>7</v>
      </c>
      <c r="E17" t="s">
        <v>10</v>
      </c>
      <c r="F17" s="1">
        <v>5.5391850000000003E-3</v>
      </c>
      <c r="G17" s="1">
        <v>0.56266527</v>
      </c>
      <c r="H17" s="1">
        <v>0.38232802999999999</v>
      </c>
      <c r="I17" s="1">
        <v>4.9467509999999999E-2</v>
      </c>
      <c r="J17" t="s">
        <v>26</v>
      </c>
      <c r="K17" t="s">
        <v>13</v>
      </c>
      <c r="L17" s="2">
        <f>MROUND(VLOOKUP(J17,API_Removal_Rates!$A$1:$D$8, 2), 5)/100</f>
        <v>0.1</v>
      </c>
      <c r="M17" s="2">
        <f>MROUND(VLOOKUP(J17,API_Removal_Rates!$A$1:$D$8, 3), 5)/100</f>
        <v>0.5</v>
      </c>
      <c r="N17" s="2">
        <f>MROUND(VLOOKUP(J17,API_Removal_Rates!$A$1:$D$8, 4), 5)/100</f>
        <v>0.85</v>
      </c>
      <c r="O17" s="2">
        <f t="shared" si="0"/>
        <v>0</v>
      </c>
      <c r="P17" s="2">
        <f t="shared" si="1"/>
        <v>5.6266527000000004E-2</v>
      </c>
      <c r="Q17" s="2">
        <f t="shared" si="2"/>
        <v>0.19116401499999999</v>
      </c>
      <c r="R17" s="2">
        <f t="shared" si="5"/>
        <v>4.20473835E-2</v>
      </c>
      <c r="S17" s="2">
        <f t="shared" si="3"/>
        <v>0.28947792550000001</v>
      </c>
      <c r="T17" s="5" t="str">
        <f t="shared" si="4"/>
        <v>0.3</v>
      </c>
      <c r="U17">
        <f t="shared" si="6"/>
        <v>0</v>
      </c>
      <c r="V17">
        <f t="shared" si="7"/>
        <v>1</v>
      </c>
      <c r="W17">
        <f t="shared" si="8"/>
        <v>0</v>
      </c>
      <c r="X17">
        <f t="shared" si="9"/>
        <v>0</v>
      </c>
      <c r="Y17">
        <f t="shared" si="10"/>
        <v>0</v>
      </c>
      <c r="Z17">
        <f t="shared" si="11"/>
        <v>0</v>
      </c>
    </row>
    <row r="18" spans="1:26" x14ac:dyDescent="0.25">
      <c r="A18">
        <v>17</v>
      </c>
      <c r="B18">
        <v>2050</v>
      </c>
      <c r="C18" t="s">
        <v>13</v>
      </c>
      <c r="D18" s="12" t="s">
        <v>7</v>
      </c>
      <c r="E18" t="s">
        <v>11</v>
      </c>
      <c r="F18" s="1">
        <v>0</v>
      </c>
      <c r="G18" s="1">
        <v>0</v>
      </c>
      <c r="H18" s="1">
        <v>0.95</v>
      </c>
      <c r="I18" s="1">
        <v>4.9467509999999999E-2</v>
      </c>
      <c r="J18" t="s">
        <v>26</v>
      </c>
      <c r="K18" t="s">
        <v>13</v>
      </c>
      <c r="L18" s="2">
        <f>MROUND(VLOOKUP(J18,API_Removal_Rates!$A$1:$D$8, 2), 5)/100</f>
        <v>0.1</v>
      </c>
      <c r="M18" s="2">
        <f>MROUND(VLOOKUP(J18,API_Removal_Rates!$A$1:$D$8, 3), 5)/100</f>
        <v>0.5</v>
      </c>
      <c r="N18" s="2">
        <f>MROUND(VLOOKUP(J18,API_Removal_Rates!$A$1:$D$8, 4), 5)/100</f>
        <v>0.85</v>
      </c>
      <c r="O18" s="2">
        <f t="shared" si="0"/>
        <v>0</v>
      </c>
      <c r="P18" s="2">
        <f t="shared" si="1"/>
        <v>0</v>
      </c>
      <c r="Q18" s="2">
        <f t="shared" si="2"/>
        <v>0.47499999999999998</v>
      </c>
      <c r="R18" s="2">
        <f t="shared" si="5"/>
        <v>4.20473835E-2</v>
      </c>
      <c r="S18" s="2">
        <f t="shared" si="3"/>
        <v>0.51704738350000001</v>
      </c>
      <c r="T18" s="5" t="str">
        <f t="shared" si="4"/>
        <v>0.5</v>
      </c>
      <c r="U18">
        <f t="shared" si="6"/>
        <v>0</v>
      </c>
      <c r="V18">
        <f t="shared" si="7"/>
        <v>0</v>
      </c>
      <c r="W18">
        <f t="shared" si="8"/>
        <v>1</v>
      </c>
      <c r="X18">
        <f t="shared" si="9"/>
        <v>0</v>
      </c>
      <c r="Y18">
        <f t="shared" si="10"/>
        <v>0</v>
      </c>
      <c r="Z18">
        <f t="shared" si="11"/>
        <v>0</v>
      </c>
    </row>
    <row r="19" spans="1:26" x14ac:dyDescent="0.25">
      <c r="A19">
        <v>18</v>
      </c>
      <c r="B19">
        <v>2050</v>
      </c>
      <c r="C19" t="s">
        <v>13</v>
      </c>
      <c r="D19" s="12" t="s">
        <v>7</v>
      </c>
      <c r="E19" t="s">
        <v>12</v>
      </c>
      <c r="F19" s="1">
        <v>0</v>
      </c>
      <c r="G19" s="1">
        <v>0</v>
      </c>
      <c r="H19" s="1">
        <v>0</v>
      </c>
      <c r="I19" s="1">
        <v>1</v>
      </c>
      <c r="J19" t="s">
        <v>26</v>
      </c>
      <c r="K19" t="s">
        <v>13</v>
      </c>
      <c r="L19" s="2">
        <f>MROUND(VLOOKUP(J19,API_Removal_Rates!$A$1:$D$8, 2), 5)/100</f>
        <v>0.1</v>
      </c>
      <c r="M19" s="2">
        <f>MROUND(VLOOKUP(J19,API_Removal_Rates!$A$1:$D$8, 3), 5)/100</f>
        <v>0.5</v>
      </c>
      <c r="N19" s="2">
        <f>MROUND(VLOOKUP(J19,API_Removal_Rates!$A$1:$D$8, 4), 5)/100</f>
        <v>0.85</v>
      </c>
      <c r="O19" s="2">
        <f t="shared" si="0"/>
        <v>0</v>
      </c>
      <c r="P19" s="2">
        <f t="shared" si="1"/>
        <v>0</v>
      </c>
      <c r="Q19" s="2">
        <f t="shared" si="2"/>
        <v>0</v>
      </c>
      <c r="R19" s="2">
        <f t="shared" si="5"/>
        <v>0.85</v>
      </c>
      <c r="S19" s="2">
        <f t="shared" si="3"/>
        <v>0.85</v>
      </c>
      <c r="T19" s="5" t="str">
        <f t="shared" si="4"/>
        <v>0.85</v>
      </c>
      <c r="U19">
        <f t="shared" si="6"/>
        <v>0</v>
      </c>
      <c r="V19">
        <f t="shared" si="7"/>
        <v>0</v>
      </c>
      <c r="W19">
        <f t="shared" si="8"/>
        <v>0</v>
      </c>
      <c r="X19">
        <f t="shared" si="9"/>
        <v>0</v>
      </c>
      <c r="Y19">
        <f t="shared" si="10"/>
        <v>0</v>
      </c>
      <c r="Z19">
        <f t="shared" si="11"/>
        <v>1</v>
      </c>
    </row>
    <row r="20" spans="1:26" x14ac:dyDescent="0.25">
      <c r="A20">
        <v>19</v>
      </c>
      <c r="B20">
        <v>2050</v>
      </c>
      <c r="C20" t="s">
        <v>14</v>
      </c>
      <c r="D20" s="12" t="s">
        <v>7</v>
      </c>
      <c r="E20" t="s">
        <v>10</v>
      </c>
      <c r="F20" s="1">
        <v>5.5391850000000003E-3</v>
      </c>
      <c r="G20" s="1">
        <v>0.56266527</v>
      </c>
      <c r="H20" s="1">
        <v>0.38232802999999999</v>
      </c>
      <c r="I20" s="1">
        <v>4.9467509999999999E-2</v>
      </c>
      <c r="J20" t="s">
        <v>26</v>
      </c>
      <c r="K20" t="s">
        <v>13</v>
      </c>
      <c r="L20" s="2">
        <f>MROUND(VLOOKUP(J20,API_Removal_Rates!$A$1:$D$8, 2), 5)/100</f>
        <v>0.1</v>
      </c>
      <c r="M20" s="2">
        <f>MROUND(VLOOKUP(J20,API_Removal_Rates!$A$1:$D$8, 3), 5)/100</f>
        <v>0.5</v>
      </c>
      <c r="N20" s="2">
        <f>MROUND(VLOOKUP(J20,API_Removal_Rates!$A$1:$D$8, 4), 5)/100</f>
        <v>0.85</v>
      </c>
      <c r="O20" s="2">
        <f t="shared" si="0"/>
        <v>0</v>
      </c>
      <c r="P20" s="2">
        <f t="shared" si="1"/>
        <v>5.6266527000000004E-2</v>
      </c>
      <c r="Q20" s="2">
        <f t="shared" si="2"/>
        <v>0.19116401499999999</v>
      </c>
      <c r="R20" s="2">
        <f t="shared" si="5"/>
        <v>4.20473835E-2</v>
      </c>
      <c r="S20" s="2">
        <f t="shared" si="3"/>
        <v>0.28947792550000001</v>
      </c>
      <c r="T20" s="5" t="str">
        <f t="shared" si="4"/>
        <v>0.3</v>
      </c>
      <c r="U20">
        <f t="shared" si="6"/>
        <v>0</v>
      </c>
      <c r="V20">
        <f t="shared" si="7"/>
        <v>1</v>
      </c>
      <c r="W20">
        <f t="shared" si="8"/>
        <v>0</v>
      </c>
      <c r="X20">
        <f t="shared" si="9"/>
        <v>0</v>
      </c>
      <c r="Y20">
        <f t="shared" si="10"/>
        <v>0</v>
      </c>
      <c r="Z20">
        <f t="shared" si="11"/>
        <v>0</v>
      </c>
    </row>
    <row r="21" spans="1:26" x14ac:dyDescent="0.25">
      <c r="A21">
        <v>20</v>
      </c>
      <c r="B21">
        <v>2050</v>
      </c>
      <c r="C21" t="s">
        <v>14</v>
      </c>
      <c r="D21" s="12" t="s">
        <v>7</v>
      </c>
      <c r="E21" t="s">
        <v>11</v>
      </c>
      <c r="F21" s="1">
        <v>0</v>
      </c>
      <c r="G21" s="1">
        <v>0</v>
      </c>
      <c r="H21" s="1">
        <v>0.95</v>
      </c>
      <c r="I21" s="1">
        <v>4.9467509999999999E-2</v>
      </c>
      <c r="J21" t="s">
        <v>26</v>
      </c>
      <c r="K21" t="s">
        <v>13</v>
      </c>
      <c r="L21" s="2">
        <f>MROUND(VLOOKUP(J21,API_Removal_Rates!$A$1:$D$8, 2), 5)/100</f>
        <v>0.1</v>
      </c>
      <c r="M21" s="2">
        <f>MROUND(VLOOKUP(J21,API_Removal_Rates!$A$1:$D$8, 3), 5)/100</f>
        <v>0.5</v>
      </c>
      <c r="N21" s="2">
        <f>MROUND(VLOOKUP(J21,API_Removal_Rates!$A$1:$D$8, 4), 5)/100</f>
        <v>0.85</v>
      </c>
      <c r="O21" s="2">
        <f t="shared" si="0"/>
        <v>0</v>
      </c>
      <c r="P21" s="2">
        <f t="shared" si="1"/>
        <v>0</v>
      </c>
      <c r="Q21" s="2">
        <f t="shared" si="2"/>
        <v>0.47499999999999998</v>
      </c>
      <c r="R21" s="2">
        <f t="shared" si="5"/>
        <v>4.20473835E-2</v>
      </c>
      <c r="S21" s="2">
        <f t="shared" si="3"/>
        <v>0.51704738350000001</v>
      </c>
      <c r="T21" s="5" t="str">
        <f t="shared" si="4"/>
        <v>0.5</v>
      </c>
      <c r="U21">
        <f t="shared" si="6"/>
        <v>0</v>
      </c>
      <c r="V21">
        <f t="shared" si="7"/>
        <v>0</v>
      </c>
      <c r="W21">
        <f t="shared" si="8"/>
        <v>1</v>
      </c>
      <c r="X21">
        <f t="shared" si="9"/>
        <v>0</v>
      </c>
      <c r="Y21">
        <f t="shared" si="10"/>
        <v>0</v>
      </c>
      <c r="Z21">
        <f t="shared" si="11"/>
        <v>0</v>
      </c>
    </row>
    <row r="22" spans="1:26" x14ac:dyDescent="0.25">
      <c r="A22">
        <v>21</v>
      </c>
      <c r="B22">
        <v>2050</v>
      </c>
      <c r="C22" t="s">
        <v>14</v>
      </c>
      <c r="D22" s="12" t="s">
        <v>7</v>
      </c>
      <c r="E22" t="s">
        <v>12</v>
      </c>
      <c r="F22" s="1">
        <v>0</v>
      </c>
      <c r="G22" s="1">
        <v>0</v>
      </c>
      <c r="H22" s="1">
        <v>0</v>
      </c>
      <c r="I22" s="1">
        <v>1</v>
      </c>
      <c r="J22" t="s">
        <v>26</v>
      </c>
      <c r="K22" t="s">
        <v>13</v>
      </c>
      <c r="L22" s="2">
        <f>MROUND(VLOOKUP(J22,API_Removal_Rates!$A$1:$D$8, 2), 5)/100</f>
        <v>0.1</v>
      </c>
      <c r="M22" s="2">
        <f>MROUND(VLOOKUP(J22,API_Removal_Rates!$A$1:$D$8, 3), 5)/100</f>
        <v>0.5</v>
      </c>
      <c r="N22" s="2">
        <f>MROUND(VLOOKUP(J22,API_Removal_Rates!$A$1:$D$8, 4), 5)/100</f>
        <v>0.85</v>
      </c>
      <c r="O22" s="2">
        <f t="shared" si="0"/>
        <v>0</v>
      </c>
      <c r="P22" s="2">
        <f t="shared" si="1"/>
        <v>0</v>
      </c>
      <c r="Q22" s="2">
        <f t="shared" si="2"/>
        <v>0</v>
      </c>
      <c r="R22" s="2">
        <f t="shared" si="5"/>
        <v>0.85</v>
      </c>
      <c r="S22" s="2">
        <f t="shared" si="3"/>
        <v>0.85</v>
      </c>
      <c r="T22" s="5" t="str">
        <f t="shared" si="4"/>
        <v>0.85</v>
      </c>
      <c r="U22">
        <f t="shared" si="6"/>
        <v>0</v>
      </c>
      <c r="V22">
        <f t="shared" si="7"/>
        <v>0</v>
      </c>
      <c r="W22">
        <f t="shared" si="8"/>
        <v>0</v>
      </c>
      <c r="X22">
        <f t="shared" si="9"/>
        <v>0</v>
      </c>
      <c r="Y22">
        <f t="shared" si="10"/>
        <v>0</v>
      </c>
      <c r="Z22">
        <f t="shared" si="11"/>
        <v>1</v>
      </c>
    </row>
    <row r="23" spans="1:26" x14ac:dyDescent="0.25">
      <c r="A23">
        <v>22</v>
      </c>
      <c r="B23">
        <v>2050</v>
      </c>
      <c r="C23" t="s">
        <v>15</v>
      </c>
      <c r="D23" s="12" t="s">
        <v>7</v>
      </c>
      <c r="E23" t="s">
        <v>10</v>
      </c>
      <c r="F23" s="1">
        <v>5.5391850000000003E-3</v>
      </c>
      <c r="G23" s="1">
        <v>0.56266527</v>
      </c>
      <c r="H23" s="1">
        <v>0.38232802999999999</v>
      </c>
      <c r="I23" s="1">
        <v>4.9467509999999999E-2</v>
      </c>
      <c r="J23" t="s">
        <v>26</v>
      </c>
      <c r="K23" t="s">
        <v>13</v>
      </c>
      <c r="L23" s="2">
        <f>MROUND(VLOOKUP(J23,API_Removal_Rates!$A$1:$D$8, 2), 5)/100</f>
        <v>0.1</v>
      </c>
      <c r="M23" s="2">
        <f>MROUND(VLOOKUP(J23,API_Removal_Rates!$A$1:$D$8, 3), 5)/100</f>
        <v>0.5</v>
      </c>
      <c r="N23" s="2">
        <f>MROUND(VLOOKUP(J23,API_Removal_Rates!$A$1:$D$8, 4), 5)/100</f>
        <v>0.85</v>
      </c>
      <c r="O23" s="2">
        <f t="shared" si="0"/>
        <v>0</v>
      </c>
      <c r="P23" s="2">
        <f t="shared" si="1"/>
        <v>5.6266527000000004E-2</v>
      </c>
      <c r="Q23" s="2">
        <f t="shared" si="2"/>
        <v>0.19116401499999999</v>
      </c>
      <c r="R23" s="2">
        <f t="shared" si="5"/>
        <v>4.20473835E-2</v>
      </c>
      <c r="S23" s="2">
        <f t="shared" si="3"/>
        <v>0.28947792550000001</v>
      </c>
      <c r="T23" s="5" t="str">
        <f t="shared" si="4"/>
        <v>0.3</v>
      </c>
      <c r="U23">
        <f t="shared" si="6"/>
        <v>0</v>
      </c>
      <c r="V23">
        <f t="shared" si="7"/>
        <v>1</v>
      </c>
      <c r="W23">
        <f t="shared" si="8"/>
        <v>0</v>
      </c>
      <c r="X23">
        <f t="shared" si="9"/>
        <v>0</v>
      </c>
      <c r="Y23">
        <f t="shared" si="10"/>
        <v>0</v>
      </c>
      <c r="Z23">
        <f t="shared" si="11"/>
        <v>0</v>
      </c>
    </row>
    <row r="24" spans="1:26" x14ac:dyDescent="0.25">
      <c r="A24">
        <v>23</v>
      </c>
      <c r="B24">
        <v>2050</v>
      </c>
      <c r="C24" t="s">
        <v>15</v>
      </c>
      <c r="D24" s="12" t="s">
        <v>7</v>
      </c>
      <c r="E24" t="s">
        <v>11</v>
      </c>
      <c r="F24" s="1">
        <v>0</v>
      </c>
      <c r="G24" s="1">
        <v>0</v>
      </c>
      <c r="H24" s="1">
        <v>0.95</v>
      </c>
      <c r="I24" s="1">
        <v>4.9467509999999999E-2</v>
      </c>
      <c r="J24" t="s">
        <v>26</v>
      </c>
      <c r="K24" t="s">
        <v>13</v>
      </c>
      <c r="L24" s="2">
        <f>MROUND(VLOOKUP(J24,API_Removal_Rates!$A$1:$D$8, 2), 5)/100</f>
        <v>0.1</v>
      </c>
      <c r="M24" s="2">
        <f>MROUND(VLOOKUP(J24,API_Removal_Rates!$A$1:$D$8, 3), 5)/100</f>
        <v>0.5</v>
      </c>
      <c r="N24" s="2">
        <f>MROUND(VLOOKUP(J24,API_Removal_Rates!$A$1:$D$8, 4), 5)/100</f>
        <v>0.85</v>
      </c>
      <c r="O24" s="2">
        <f t="shared" si="0"/>
        <v>0</v>
      </c>
      <c r="P24" s="2">
        <f t="shared" si="1"/>
        <v>0</v>
      </c>
      <c r="Q24" s="2">
        <f t="shared" si="2"/>
        <v>0.47499999999999998</v>
      </c>
      <c r="R24" s="2">
        <f t="shared" si="5"/>
        <v>4.20473835E-2</v>
      </c>
      <c r="S24" s="2">
        <f t="shared" si="3"/>
        <v>0.51704738350000001</v>
      </c>
      <c r="T24" s="5" t="str">
        <f t="shared" si="4"/>
        <v>0.5</v>
      </c>
      <c r="U24">
        <f t="shared" si="6"/>
        <v>0</v>
      </c>
      <c r="V24">
        <f t="shared" si="7"/>
        <v>0</v>
      </c>
      <c r="W24">
        <f t="shared" si="8"/>
        <v>1</v>
      </c>
      <c r="X24">
        <f t="shared" si="9"/>
        <v>0</v>
      </c>
      <c r="Y24">
        <f t="shared" si="10"/>
        <v>0</v>
      </c>
      <c r="Z24">
        <f t="shared" si="11"/>
        <v>0</v>
      </c>
    </row>
    <row r="25" spans="1:26" x14ac:dyDescent="0.25">
      <c r="A25">
        <v>24</v>
      </c>
      <c r="B25">
        <v>2050</v>
      </c>
      <c r="C25" t="s">
        <v>15</v>
      </c>
      <c r="D25" s="12" t="s">
        <v>7</v>
      </c>
      <c r="E25" t="s">
        <v>12</v>
      </c>
      <c r="F25" s="1">
        <v>0</v>
      </c>
      <c r="G25" s="1">
        <v>0</v>
      </c>
      <c r="H25" s="1">
        <v>0</v>
      </c>
      <c r="I25" s="1">
        <v>1</v>
      </c>
      <c r="J25" t="s">
        <v>26</v>
      </c>
      <c r="K25" t="s">
        <v>13</v>
      </c>
      <c r="L25" s="2">
        <f>MROUND(VLOOKUP(J25,API_Removal_Rates!$A$1:$D$8, 2), 5)/100</f>
        <v>0.1</v>
      </c>
      <c r="M25" s="2">
        <f>MROUND(VLOOKUP(J25,API_Removal_Rates!$A$1:$D$8, 3), 5)/100</f>
        <v>0.5</v>
      </c>
      <c r="N25" s="2">
        <f>MROUND(VLOOKUP(J25,API_Removal_Rates!$A$1:$D$8, 4), 5)/100</f>
        <v>0.85</v>
      </c>
      <c r="O25" s="2">
        <f t="shared" si="0"/>
        <v>0</v>
      </c>
      <c r="P25" s="2">
        <f t="shared" si="1"/>
        <v>0</v>
      </c>
      <c r="Q25" s="2">
        <f t="shared" si="2"/>
        <v>0</v>
      </c>
      <c r="R25" s="2">
        <f t="shared" si="5"/>
        <v>0.85</v>
      </c>
      <c r="S25" s="2">
        <f t="shared" si="3"/>
        <v>0.85</v>
      </c>
      <c r="T25" s="5" t="str">
        <f t="shared" si="4"/>
        <v>0.85</v>
      </c>
      <c r="U25">
        <f t="shared" si="6"/>
        <v>0</v>
      </c>
      <c r="V25">
        <f t="shared" si="7"/>
        <v>0</v>
      </c>
      <c r="W25">
        <f t="shared" si="8"/>
        <v>0</v>
      </c>
      <c r="X25">
        <f t="shared" si="9"/>
        <v>0</v>
      </c>
      <c r="Y25">
        <f t="shared" si="10"/>
        <v>0</v>
      </c>
      <c r="Z25">
        <f t="shared" si="11"/>
        <v>1</v>
      </c>
    </row>
    <row r="26" spans="1:26" x14ac:dyDescent="0.25">
      <c r="A26">
        <v>25</v>
      </c>
      <c r="B26">
        <v>2020</v>
      </c>
      <c r="C26" t="s">
        <v>5</v>
      </c>
      <c r="D26" s="12" t="s">
        <v>8</v>
      </c>
      <c r="E26" t="s">
        <v>10</v>
      </c>
      <c r="F26" s="1">
        <v>2.5889000000000001E-4</v>
      </c>
      <c r="G26" s="1">
        <v>4.6978140000000002E-2</v>
      </c>
      <c r="H26" s="1">
        <v>0.40524268000000002</v>
      </c>
      <c r="I26" s="1">
        <v>0.54752029000000002</v>
      </c>
      <c r="J26" t="s">
        <v>26</v>
      </c>
      <c r="K26" t="s">
        <v>13</v>
      </c>
      <c r="L26" s="2">
        <f>MROUND(VLOOKUP(J26,API_Removal_Rates!$A$1:$D$8, 2), 5)/100</f>
        <v>0.1</v>
      </c>
      <c r="M26" s="2">
        <f>MROUND(VLOOKUP(J26,API_Removal_Rates!$A$1:$D$8, 3), 5)/100</f>
        <v>0.5</v>
      </c>
      <c r="N26" s="2">
        <f>MROUND(VLOOKUP(J26,API_Removal_Rates!$A$1:$D$8, 4), 5)/100</f>
        <v>0.85</v>
      </c>
      <c r="O26" s="2">
        <f t="shared" si="0"/>
        <v>0</v>
      </c>
      <c r="P26" s="2">
        <f t="shared" si="1"/>
        <v>4.6978140000000007E-3</v>
      </c>
      <c r="Q26" s="2">
        <f t="shared" si="2"/>
        <v>0.20262134000000001</v>
      </c>
      <c r="R26" s="2">
        <f t="shared" si="5"/>
        <v>0.4653922465</v>
      </c>
      <c r="S26" s="2">
        <f t="shared" si="3"/>
        <v>0.6727114005</v>
      </c>
      <c r="T26" s="5" t="str">
        <f t="shared" si="4"/>
        <v>0.65</v>
      </c>
      <c r="U26">
        <f t="shared" si="6"/>
        <v>0</v>
      </c>
      <c r="V26">
        <f t="shared" si="7"/>
        <v>0</v>
      </c>
      <c r="W26">
        <f t="shared" si="8"/>
        <v>0</v>
      </c>
      <c r="X26">
        <f t="shared" si="9"/>
        <v>1</v>
      </c>
      <c r="Y26">
        <f t="shared" si="10"/>
        <v>0</v>
      </c>
      <c r="Z26">
        <f t="shared" si="11"/>
        <v>0</v>
      </c>
    </row>
    <row r="27" spans="1:26" x14ac:dyDescent="0.25">
      <c r="A27">
        <v>26</v>
      </c>
      <c r="B27">
        <v>2020</v>
      </c>
      <c r="C27" t="s">
        <v>5</v>
      </c>
      <c r="D27" s="12" t="s">
        <v>8</v>
      </c>
      <c r="E27" t="s">
        <v>11</v>
      </c>
      <c r="F27" s="1">
        <v>2.5889000000000001E-4</v>
      </c>
      <c r="G27" s="1">
        <v>0</v>
      </c>
      <c r="H27" s="1">
        <v>0.45</v>
      </c>
      <c r="I27" s="1">
        <v>0.54752029000000002</v>
      </c>
      <c r="J27" t="s">
        <v>26</v>
      </c>
      <c r="K27" t="s">
        <v>13</v>
      </c>
      <c r="L27" s="2">
        <f>MROUND(VLOOKUP(J27,API_Removal_Rates!$A$1:$D$8, 2), 5)/100</f>
        <v>0.1</v>
      </c>
      <c r="M27" s="2">
        <f>MROUND(VLOOKUP(J27,API_Removal_Rates!$A$1:$D$8, 3), 5)/100</f>
        <v>0.5</v>
      </c>
      <c r="N27" s="2">
        <f>MROUND(VLOOKUP(J27,API_Removal_Rates!$A$1:$D$8, 4), 5)/100</f>
        <v>0.85</v>
      </c>
      <c r="O27" s="2">
        <f t="shared" si="0"/>
        <v>0</v>
      </c>
      <c r="P27" s="2">
        <f t="shared" si="1"/>
        <v>0</v>
      </c>
      <c r="Q27" s="2">
        <f t="shared" si="2"/>
        <v>0.22500000000000001</v>
      </c>
      <c r="R27" s="2">
        <f t="shared" si="5"/>
        <v>0.4653922465</v>
      </c>
      <c r="S27" s="2">
        <f t="shared" si="3"/>
        <v>0.69039224649999997</v>
      </c>
      <c r="T27" s="5" t="str">
        <f t="shared" si="4"/>
        <v>0.7</v>
      </c>
      <c r="U27">
        <f t="shared" si="6"/>
        <v>0</v>
      </c>
      <c r="V27">
        <f t="shared" si="7"/>
        <v>0</v>
      </c>
      <c r="W27">
        <f t="shared" si="8"/>
        <v>0</v>
      </c>
      <c r="X27">
        <f t="shared" si="9"/>
        <v>0</v>
      </c>
      <c r="Y27">
        <f t="shared" si="10"/>
        <v>1</v>
      </c>
      <c r="Z27">
        <f t="shared" si="11"/>
        <v>0</v>
      </c>
    </row>
    <row r="28" spans="1:26" x14ac:dyDescent="0.25">
      <c r="A28">
        <v>27</v>
      </c>
      <c r="B28">
        <v>2020</v>
      </c>
      <c r="C28" t="s">
        <v>5</v>
      </c>
      <c r="D28" s="12" t="s">
        <v>8</v>
      </c>
      <c r="E28" t="s">
        <v>12</v>
      </c>
      <c r="F28" s="1">
        <v>0</v>
      </c>
      <c r="G28" s="1">
        <v>0</v>
      </c>
      <c r="H28" s="1">
        <v>0</v>
      </c>
      <c r="I28" s="1">
        <v>1</v>
      </c>
      <c r="J28" t="s">
        <v>26</v>
      </c>
      <c r="K28" t="s">
        <v>13</v>
      </c>
      <c r="L28" s="2">
        <f>MROUND(VLOOKUP(J28,API_Removal_Rates!$A$1:$D$8, 2), 5)/100</f>
        <v>0.1</v>
      </c>
      <c r="M28" s="2">
        <f>MROUND(VLOOKUP(J28,API_Removal_Rates!$A$1:$D$8, 3), 5)/100</f>
        <v>0.5</v>
      </c>
      <c r="N28" s="2">
        <f>MROUND(VLOOKUP(J28,API_Removal_Rates!$A$1:$D$8, 4), 5)/100</f>
        <v>0.85</v>
      </c>
      <c r="O28" s="2">
        <f t="shared" si="0"/>
        <v>0</v>
      </c>
      <c r="P28" s="2">
        <f t="shared" si="1"/>
        <v>0</v>
      </c>
      <c r="Q28" s="2">
        <f t="shared" si="2"/>
        <v>0</v>
      </c>
      <c r="R28" s="2">
        <f t="shared" si="5"/>
        <v>0.85</v>
      </c>
      <c r="S28" s="2">
        <f t="shared" si="3"/>
        <v>0.85</v>
      </c>
      <c r="T28" s="5" t="str">
        <f t="shared" si="4"/>
        <v>0.85</v>
      </c>
      <c r="U28">
        <f t="shared" si="6"/>
        <v>0</v>
      </c>
      <c r="V28">
        <f t="shared" si="7"/>
        <v>0</v>
      </c>
      <c r="W28">
        <f t="shared" si="8"/>
        <v>0</v>
      </c>
      <c r="X28">
        <f t="shared" si="9"/>
        <v>0</v>
      </c>
      <c r="Y28">
        <f t="shared" si="10"/>
        <v>0</v>
      </c>
      <c r="Z28">
        <f t="shared" si="11"/>
        <v>1</v>
      </c>
    </row>
    <row r="29" spans="1:26" x14ac:dyDescent="0.25">
      <c r="A29">
        <v>28</v>
      </c>
      <c r="B29">
        <v>2050</v>
      </c>
      <c r="C29" t="s">
        <v>13</v>
      </c>
      <c r="D29" s="12" t="s">
        <v>8</v>
      </c>
      <c r="E29" t="s">
        <v>10</v>
      </c>
      <c r="F29" s="1">
        <v>2.5889000000000001E-4</v>
      </c>
      <c r="G29" s="1">
        <v>4.6978140000000002E-2</v>
      </c>
      <c r="H29" s="1">
        <v>0.40524268000000002</v>
      </c>
      <c r="I29" s="1">
        <v>0.54752029000000002</v>
      </c>
      <c r="J29" t="s">
        <v>26</v>
      </c>
      <c r="K29" t="s">
        <v>13</v>
      </c>
      <c r="L29" s="2">
        <f>MROUND(VLOOKUP(J29,API_Removal_Rates!$A$1:$D$8, 2), 5)/100</f>
        <v>0.1</v>
      </c>
      <c r="M29" s="2">
        <f>MROUND(VLOOKUP(J29,API_Removal_Rates!$A$1:$D$8, 3), 5)/100</f>
        <v>0.5</v>
      </c>
      <c r="N29" s="2">
        <f>MROUND(VLOOKUP(J29,API_Removal_Rates!$A$1:$D$8, 4), 5)/100</f>
        <v>0.85</v>
      </c>
      <c r="O29" s="2">
        <f t="shared" si="0"/>
        <v>0</v>
      </c>
      <c r="P29" s="2">
        <f t="shared" si="1"/>
        <v>4.6978140000000007E-3</v>
      </c>
      <c r="Q29" s="2">
        <f t="shared" si="2"/>
        <v>0.20262134000000001</v>
      </c>
      <c r="R29" s="2">
        <f t="shared" si="5"/>
        <v>0.4653922465</v>
      </c>
      <c r="S29" s="2">
        <f t="shared" si="3"/>
        <v>0.6727114005</v>
      </c>
      <c r="T29" s="5" t="str">
        <f t="shared" si="4"/>
        <v>0.65</v>
      </c>
      <c r="U29">
        <f t="shared" si="6"/>
        <v>0</v>
      </c>
      <c r="V29">
        <f t="shared" si="7"/>
        <v>0</v>
      </c>
      <c r="W29">
        <f t="shared" si="8"/>
        <v>0</v>
      </c>
      <c r="X29">
        <f t="shared" si="9"/>
        <v>1</v>
      </c>
      <c r="Y29">
        <f t="shared" si="10"/>
        <v>0</v>
      </c>
      <c r="Z29">
        <f t="shared" si="11"/>
        <v>0</v>
      </c>
    </row>
    <row r="30" spans="1:26" x14ac:dyDescent="0.25">
      <c r="A30">
        <v>29</v>
      </c>
      <c r="B30">
        <v>2050</v>
      </c>
      <c r="C30" t="s">
        <v>13</v>
      </c>
      <c r="D30" s="12" t="s">
        <v>8</v>
      </c>
      <c r="E30" t="s">
        <v>11</v>
      </c>
      <c r="F30" s="1">
        <v>2.5889000000000001E-4</v>
      </c>
      <c r="G30" s="1">
        <v>0</v>
      </c>
      <c r="H30" s="1">
        <v>0.45</v>
      </c>
      <c r="I30" s="1">
        <v>0.54752029000000002</v>
      </c>
      <c r="J30" t="s">
        <v>26</v>
      </c>
      <c r="K30" t="s">
        <v>13</v>
      </c>
      <c r="L30" s="2">
        <f>MROUND(VLOOKUP(J30,API_Removal_Rates!$A$1:$D$8, 2), 5)/100</f>
        <v>0.1</v>
      </c>
      <c r="M30" s="2">
        <f>MROUND(VLOOKUP(J30,API_Removal_Rates!$A$1:$D$8, 3), 5)/100</f>
        <v>0.5</v>
      </c>
      <c r="N30" s="2">
        <f>MROUND(VLOOKUP(J30,API_Removal_Rates!$A$1:$D$8, 4), 5)/100</f>
        <v>0.85</v>
      </c>
      <c r="O30" s="2">
        <f t="shared" si="0"/>
        <v>0</v>
      </c>
      <c r="P30" s="2">
        <f t="shared" si="1"/>
        <v>0</v>
      </c>
      <c r="Q30" s="2">
        <f t="shared" si="2"/>
        <v>0.22500000000000001</v>
      </c>
      <c r="R30" s="2">
        <f t="shared" si="5"/>
        <v>0.4653922465</v>
      </c>
      <c r="S30" s="2">
        <f t="shared" si="3"/>
        <v>0.69039224649999997</v>
      </c>
      <c r="T30" s="5" t="str">
        <f t="shared" si="4"/>
        <v>0.7</v>
      </c>
      <c r="U30">
        <f t="shared" si="6"/>
        <v>0</v>
      </c>
      <c r="V30">
        <f t="shared" si="7"/>
        <v>0</v>
      </c>
      <c r="W30">
        <f t="shared" si="8"/>
        <v>0</v>
      </c>
      <c r="X30">
        <f t="shared" si="9"/>
        <v>0</v>
      </c>
      <c r="Y30">
        <f t="shared" si="10"/>
        <v>1</v>
      </c>
      <c r="Z30">
        <f t="shared" si="11"/>
        <v>0</v>
      </c>
    </row>
    <row r="31" spans="1:26" x14ac:dyDescent="0.25">
      <c r="A31">
        <v>30</v>
      </c>
      <c r="B31">
        <v>2050</v>
      </c>
      <c r="C31" t="s">
        <v>13</v>
      </c>
      <c r="D31" s="12" t="s">
        <v>8</v>
      </c>
      <c r="E31" t="s">
        <v>12</v>
      </c>
      <c r="F31" s="1">
        <v>0</v>
      </c>
      <c r="G31" s="1">
        <v>0</v>
      </c>
      <c r="H31" s="1">
        <v>0</v>
      </c>
      <c r="I31" s="1">
        <v>1</v>
      </c>
      <c r="J31" t="s">
        <v>26</v>
      </c>
      <c r="K31" t="s">
        <v>13</v>
      </c>
      <c r="L31" s="2">
        <f>MROUND(VLOOKUP(J31,API_Removal_Rates!$A$1:$D$8, 2), 5)/100</f>
        <v>0.1</v>
      </c>
      <c r="M31" s="2">
        <f>MROUND(VLOOKUP(J31,API_Removal_Rates!$A$1:$D$8, 3), 5)/100</f>
        <v>0.5</v>
      </c>
      <c r="N31" s="2">
        <f>MROUND(VLOOKUP(J31,API_Removal_Rates!$A$1:$D$8, 4), 5)/100</f>
        <v>0.85</v>
      </c>
      <c r="O31" s="2">
        <f t="shared" si="0"/>
        <v>0</v>
      </c>
      <c r="P31" s="2">
        <f t="shared" si="1"/>
        <v>0</v>
      </c>
      <c r="Q31" s="2">
        <f t="shared" si="2"/>
        <v>0</v>
      </c>
      <c r="R31" s="2">
        <f t="shared" si="5"/>
        <v>0.85</v>
      </c>
      <c r="S31" s="2">
        <f t="shared" si="3"/>
        <v>0.85</v>
      </c>
      <c r="T31" s="5" t="str">
        <f t="shared" si="4"/>
        <v>0.85</v>
      </c>
      <c r="U31">
        <f t="shared" si="6"/>
        <v>0</v>
      </c>
      <c r="V31">
        <f t="shared" si="7"/>
        <v>0</v>
      </c>
      <c r="W31">
        <f t="shared" si="8"/>
        <v>0</v>
      </c>
      <c r="X31">
        <f t="shared" si="9"/>
        <v>0</v>
      </c>
      <c r="Y31">
        <f t="shared" si="10"/>
        <v>0</v>
      </c>
      <c r="Z31">
        <f t="shared" si="11"/>
        <v>1</v>
      </c>
    </row>
    <row r="32" spans="1:26" x14ac:dyDescent="0.25">
      <c r="A32">
        <v>31</v>
      </c>
      <c r="B32">
        <v>2050</v>
      </c>
      <c r="C32" t="s">
        <v>14</v>
      </c>
      <c r="D32" s="12" t="s">
        <v>8</v>
      </c>
      <c r="E32" t="s">
        <v>10</v>
      </c>
      <c r="F32" s="1">
        <v>2.5889000000000001E-4</v>
      </c>
      <c r="G32" s="1">
        <v>4.6978140000000002E-2</v>
      </c>
      <c r="H32" s="1">
        <v>0.40524268000000002</v>
      </c>
      <c r="I32" s="1">
        <v>0.54752029000000002</v>
      </c>
      <c r="J32" t="s">
        <v>26</v>
      </c>
      <c r="K32" t="s">
        <v>13</v>
      </c>
      <c r="L32" s="2">
        <f>MROUND(VLOOKUP(J32,API_Removal_Rates!$A$1:$D$8, 2), 5)/100</f>
        <v>0.1</v>
      </c>
      <c r="M32" s="2">
        <f>MROUND(VLOOKUP(J32,API_Removal_Rates!$A$1:$D$8, 3), 5)/100</f>
        <v>0.5</v>
      </c>
      <c r="N32" s="2">
        <f>MROUND(VLOOKUP(J32,API_Removal_Rates!$A$1:$D$8, 4), 5)/100</f>
        <v>0.85</v>
      </c>
      <c r="O32" s="2">
        <f t="shared" si="0"/>
        <v>0</v>
      </c>
      <c r="P32" s="2">
        <f t="shared" si="1"/>
        <v>4.6978140000000007E-3</v>
      </c>
      <c r="Q32" s="2">
        <f t="shared" si="2"/>
        <v>0.20262134000000001</v>
      </c>
      <c r="R32" s="2">
        <f t="shared" si="5"/>
        <v>0.4653922465</v>
      </c>
      <c r="S32" s="2">
        <f t="shared" si="3"/>
        <v>0.6727114005</v>
      </c>
      <c r="T32" s="5" t="str">
        <f t="shared" si="4"/>
        <v>0.65</v>
      </c>
      <c r="U32">
        <f t="shared" si="6"/>
        <v>0</v>
      </c>
      <c r="V32">
        <f t="shared" si="7"/>
        <v>0</v>
      </c>
      <c r="W32">
        <f t="shared" si="8"/>
        <v>0</v>
      </c>
      <c r="X32">
        <f t="shared" si="9"/>
        <v>1</v>
      </c>
      <c r="Y32">
        <f t="shared" si="10"/>
        <v>0</v>
      </c>
      <c r="Z32">
        <f t="shared" si="11"/>
        <v>0</v>
      </c>
    </row>
    <row r="33" spans="1:26" x14ac:dyDescent="0.25">
      <c r="A33">
        <v>32</v>
      </c>
      <c r="B33">
        <v>2050</v>
      </c>
      <c r="C33" t="s">
        <v>14</v>
      </c>
      <c r="D33" s="12" t="s">
        <v>8</v>
      </c>
      <c r="E33" t="s">
        <v>11</v>
      </c>
      <c r="F33" s="1">
        <v>2.5889000000000001E-4</v>
      </c>
      <c r="G33" s="1">
        <v>0</v>
      </c>
      <c r="H33" s="1">
        <v>0.45</v>
      </c>
      <c r="I33" s="1">
        <v>0.54752029000000002</v>
      </c>
      <c r="J33" t="s">
        <v>26</v>
      </c>
      <c r="K33" t="s">
        <v>13</v>
      </c>
      <c r="L33" s="2">
        <f>MROUND(VLOOKUP(J33,API_Removal_Rates!$A$1:$D$8, 2), 5)/100</f>
        <v>0.1</v>
      </c>
      <c r="M33" s="2">
        <f>MROUND(VLOOKUP(J33,API_Removal_Rates!$A$1:$D$8, 3), 5)/100</f>
        <v>0.5</v>
      </c>
      <c r="N33" s="2">
        <f>MROUND(VLOOKUP(J33,API_Removal_Rates!$A$1:$D$8, 4), 5)/100</f>
        <v>0.85</v>
      </c>
      <c r="O33" s="2">
        <f t="shared" si="0"/>
        <v>0</v>
      </c>
      <c r="P33" s="2">
        <f t="shared" si="1"/>
        <v>0</v>
      </c>
      <c r="Q33" s="2">
        <f t="shared" si="2"/>
        <v>0.22500000000000001</v>
      </c>
      <c r="R33" s="2">
        <f t="shared" si="5"/>
        <v>0.4653922465</v>
      </c>
      <c r="S33" s="2">
        <f t="shared" si="3"/>
        <v>0.69039224649999997</v>
      </c>
      <c r="T33" s="5" t="str">
        <f t="shared" si="4"/>
        <v>0.7</v>
      </c>
      <c r="U33">
        <f t="shared" si="6"/>
        <v>0</v>
      </c>
      <c r="V33">
        <f t="shared" si="7"/>
        <v>0</v>
      </c>
      <c r="W33">
        <f t="shared" si="8"/>
        <v>0</v>
      </c>
      <c r="X33">
        <f t="shared" si="9"/>
        <v>0</v>
      </c>
      <c r="Y33">
        <f t="shared" si="10"/>
        <v>1</v>
      </c>
      <c r="Z33">
        <f t="shared" si="11"/>
        <v>0</v>
      </c>
    </row>
    <row r="34" spans="1:26" x14ac:dyDescent="0.25">
      <c r="A34">
        <v>33</v>
      </c>
      <c r="B34">
        <v>2050</v>
      </c>
      <c r="C34" t="s">
        <v>14</v>
      </c>
      <c r="D34" s="12" t="s">
        <v>8</v>
      </c>
      <c r="E34" t="s">
        <v>12</v>
      </c>
      <c r="F34" s="1">
        <v>2.5889000000000001E-4</v>
      </c>
      <c r="G34" s="1">
        <v>0</v>
      </c>
      <c r="H34" s="1">
        <v>0</v>
      </c>
      <c r="I34" s="1">
        <v>1</v>
      </c>
      <c r="J34" t="s">
        <v>26</v>
      </c>
      <c r="K34" t="s">
        <v>13</v>
      </c>
      <c r="L34" s="2">
        <f>MROUND(VLOOKUP(J34,API_Removal_Rates!$A$1:$D$8, 2), 5)/100</f>
        <v>0.1</v>
      </c>
      <c r="M34" s="2">
        <f>MROUND(VLOOKUP(J34,API_Removal_Rates!$A$1:$D$8, 3), 5)/100</f>
        <v>0.5</v>
      </c>
      <c r="N34" s="2">
        <f>MROUND(VLOOKUP(J34,API_Removal_Rates!$A$1:$D$8, 4), 5)/100</f>
        <v>0.85</v>
      </c>
      <c r="O34" s="2">
        <f t="shared" si="0"/>
        <v>0</v>
      </c>
      <c r="P34" s="2">
        <f t="shared" si="1"/>
        <v>0</v>
      </c>
      <c r="Q34" s="2">
        <f t="shared" si="2"/>
        <v>0</v>
      </c>
      <c r="R34" s="2">
        <f t="shared" si="5"/>
        <v>0.85</v>
      </c>
      <c r="S34" s="2">
        <f t="shared" si="3"/>
        <v>0.85</v>
      </c>
      <c r="T34" s="5" t="str">
        <f t="shared" si="4"/>
        <v>0.85</v>
      </c>
      <c r="U34">
        <f t="shared" si="6"/>
        <v>0</v>
      </c>
      <c r="V34">
        <f t="shared" si="7"/>
        <v>0</v>
      </c>
      <c r="W34">
        <f t="shared" si="8"/>
        <v>0</v>
      </c>
      <c r="X34">
        <f t="shared" si="9"/>
        <v>0</v>
      </c>
      <c r="Y34">
        <f t="shared" si="10"/>
        <v>0</v>
      </c>
      <c r="Z34">
        <f t="shared" si="11"/>
        <v>1</v>
      </c>
    </row>
    <row r="35" spans="1:26" x14ac:dyDescent="0.25">
      <c r="A35">
        <v>34</v>
      </c>
      <c r="B35">
        <v>2050</v>
      </c>
      <c r="C35" t="s">
        <v>15</v>
      </c>
      <c r="D35" s="12" t="s">
        <v>8</v>
      </c>
      <c r="E35" t="s">
        <v>10</v>
      </c>
      <c r="F35" s="1">
        <v>2.5889000000000001E-4</v>
      </c>
      <c r="G35" s="1">
        <v>4.6978140000000002E-2</v>
      </c>
      <c r="H35" s="1">
        <v>0.40524268000000002</v>
      </c>
      <c r="I35" s="1">
        <v>0.54752029000000002</v>
      </c>
      <c r="J35" t="s">
        <v>26</v>
      </c>
      <c r="K35" t="s">
        <v>13</v>
      </c>
      <c r="L35" s="2">
        <f>MROUND(VLOOKUP(J35,API_Removal_Rates!$A$1:$D$8, 2), 5)/100</f>
        <v>0.1</v>
      </c>
      <c r="M35" s="2">
        <f>MROUND(VLOOKUP(J35,API_Removal_Rates!$A$1:$D$8, 3), 5)/100</f>
        <v>0.5</v>
      </c>
      <c r="N35" s="2">
        <f>MROUND(VLOOKUP(J35,API_Removal_Rates!$A$1:$D$8, 4), 5)/100</f>
        <v>0.85</v>
      </c>
      <c r="O35" s="2">
        <f t="shared" si="0"/>
        <v>0</v>
      </c>
      <c r="P35" s="2">
        <f t="shared" si="1"/>
        <v>4.6978140000000007E-3</v>
      </c>
      <c r="Q35" s="2">
        <f t="shared" si="2"/>
        <v>0.20262134000000001</v>
      </c>
      <c r="R35" s="2">
        <f t="shared" si="5"/>
        <v>0.4653922465</v>
      </c>
      <c r="S35" s="2">
        <f t="shared" si="3"/>
        <v>0.6727114005</v>
      </c>
      <c r="T35" s="5" t="str">
        <f t="shared" si="4"/>
        <v>0.65</v>
      </c>
      <c r="U35">
        <f t="shared" si="6"/>
        <v>0</v>
      </c>
      <c r="V35">
        <f t="shared" si="7"/>
        <v>0</v>
      </c>
      <c r="W35">
        <f t="shared" si="8"/>
        <v>0</v>
      </c>
      <c r="X35">
        <f t="shared" si="9"/>
        <v>1</v>
      </c>
      <c r="Y35">
        <f t="shared" si="10"/>
        <v>0</v>
      </c>
      <c r="Z35">
        <f t="shared" si="11"/>
        <v>0</v>
      </c>
    </row>
    <row r="36" spans="1:26" x14ac:dyDescent="0.25">
      <c r="A36">
        <v>35</v>
      </c>
      <c r="B36">
        <v>2050</v>
      </c>
      <c r="C36" t="s">
        <v>15</v>
      </c>
      <c r="D36" s="12" t="s">
        <v>8</v>
      </c>
      <c r="E36" t="s">
        <v>11</v>
      </c>
      <c r="F36" s="1">
        <v>2.5889000000000001E-4</v>
      </c>
      <c r="G36" s="1">
        <v>0</v>
      </c>
      <c r="H36" s="1">
        <v>0.45</v>
      </c>
      <c r="I36" s="1">
        <v>0.54752029000000002</v>
      </c>
      <c r="J36" t="s">
        <v>26</v>
      </c>
      <c r="K36" t="s">
        <v>13</v>
      </c>
      <c r="L36" s="2">
        <f>MROUND(VLOOKUP(J36,API_Removal_Rates!$A$1:$D$8, 2), 5)/100</f>
        <v>0.1</v>
      </c>
      <c r="M36" s="2">
        <f>MROUND(VLOOKUP(J36,API_Removal_Rates!$A$1:$D$8, 3), 5)/100</f>
        <v>0.5</v>
      </c>
      <c r="N36" s="2">
        <f>MROUND(VLOOKUP(J36,API_Removal_Rates!$A$1:$D$8, 4), 5)/100</f>
        <v>0.85</v>
      </c>
      <c r="O36" s="2">
        <f t="shared" si="0"/>
        <v>0</v>
      </c>
      <c r="P36" s="2">
        <f t="shared" si="1"/>
        <v>0</v>
      </c>
      <c r="Q36" s="2">
        <f t="shared" si="2"/>
        <v>0.22500000000000001</v>
      </c>
      <c r="R36" s="2">
        <f t="shared" si="5"/>
        <v>0.4653922465</v>
      </c>
      <c r="S36" s="2">
        <f t="shared" si="3"/>
        <v>0.69039224649999997</v>
      </c>
      <c r="T36" s="5" t="str">
        <f t="shared" si="4"/>
        <v>0.7</v>
      </c>
      <c r="U36">
        <f t="shared" si="6"/>
        <v>0</v>
      </c>
      <c r="V36">
        <f t="shared" si="7"/>
        <v>0</v>
      </c>
      <c r="W36">
        <f t="shared" si="8"/>
        <v>0</v>
      </c>
      <c r="X36">
        <f t="shared" si="9"/>
        <v>0</v>
      </c>
      <c r="Y36">
        <f t="shared" si="10"/>
        <v>1</v>
      </c>
      <c r="Z36">
        <f t="shared" si="11"/>
        <v>0</v>
      </c>
    </row>
    <row r="37" spans="1:26" x14ac:dyDescent="0.25">
      <c r="A37">
        <v>36</v>
      </c>
      <c r="B37">
        <v>2050</v>
      </c>
      <c r="C37" t="s">
        <v>15</v>
      </c>
      <c r="D37" s="12" t="s">
        <v>8</v>
      </c>
      <c r="E37" t="s">
        <v>12</v>
      </c>
      <c r="F37" s="1">
        <v>2.5889000000000001E-4</v>
      </c>
      <c r="G37" s="1">
        <v>0</v>
      </c>
      <c r="H37" s="1">
        <v>0</v>
      </c>
      <c r="I37" s="1">
        <v>1</v>
      </c>
      <c r="J37" t="s">
        <v>26</v>
      </c>
      <c r="K37" t="s">
        <v>13</v>
      </c>
      <c r="L37" s="2">
        <f>MROUND(VLOOKUP(J37,API_Removal_Rates!$A$1:$D$8, 2), 5)/100</f>
        <v>0.1</v>
      </c>
      <c r="M37" s="2">
        <f>MROUND(VLOOKUP(J37,API_Removal_Rates!$A$1:$D$8, 3), 5)/100</f>
        <v>0.5</v>
      </c>
      <c r="N37" s="2">
        <f>MROUND(VLOOKUP(J37,API_Removal_Rates!$A$1:$D$8, 4), 5)/100</f>
        <v>0.85</v>
      </c>
      <c r="O37" s="2">
        <f t="shared" si="0"/>
        <v>0</v>
      </c>
      <c r="P37" s="2">
        <f t="shared" si="1"/>
        <v>0</v>
      </c>
      <c r="Q37" s="2">
        <f t="shared" si="2"/>
        <v>0</v>
      </c>
      <c r="R37" s="2">
        <f t="shared" si="5"/>
        <v>0.85</v>
      </c>
      <c r="S37" s="2">
        <f t="shared" si="3"/>
        <v>0.85</v>
      </c>
      <c r="T37" s="5" t="str">
        <f t="shared" si="4"/>
        <v>0.85</v>
      </c>
      <c r="U37">
        <f t="shared" si="6"/>
        <v>0</v>
      </c>
      <c r="V37">
        <f t="shared" si="7"/>
        <v>0</v>
      </c>
      <c r="W37">
        <f t="shared" si="8"/>
        <v>0</v>
      </c>
      <c r="X37">
        <f t="shared" si="9"/>
        <v>0</v>
      </c>
      <c r="Y37">
        <f t="shared" si="10"/>
        <v>0</v>
      </c>
      <c r="Z37">
        <f t="shared" si="11"/>
        <v>1</v>
      </c>
    </row>
  </sheetData>
  <autoFilter ref="A1:T37" xr:uid="{FE16EDC1-C674-4A39-985D-8A49900CB4F4}">
    <sortState xmlns:xlrd2="http://schemas.microsoft.com/office/spreadsheetml/2017/richdata2" ref="A2:T37">
      <sortCondition ref="D1:D37"/>
    </sortState>
  </autoFilter>
  <conditionalFormatting sqref="S1:S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7">
    <cfRule type="colorScale" priority="4">
      <colorScale>
        <cfvo type="min"/>
        <cfvo type="max"/>
        <color rgb="FFFCFCFF"/>
        <color rgb="FF63BE7B"/>
      </colorScale>
    </cfRule>
  </conditionalFormatting>
  <conditionalFormatting sqref="V2:X37">
    <cfRule type="colorScale" priority="3">
      <colorScale>
        <cfvo type="min"/>
        <cfvo type="max"/>
        <color rgb="FFFCFCFF"/>
        <color rgb="FF63BE7B"/>
      </colorScale>
    </cfRule>
  </conditionalFormatting>
  <conditionalFormatting sqref="Y2:Y37">
    <cfRule type="colorScale" priority="2">
      <colorScale>
        <cfvo type="min"/>
        <cfvo type="max"/>
        <color rgb="FFFCFCFF"/>
        <color rgb="FF63BE7B"/>
      </colorScale>
    </cfRule>
  </conditionalFormatting>
  <conditionalFormatting sqref="Z2:Z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7493-FB87-4F0D-9DD6-4B088F4E828F}">
  <dimension ref="A1:H21"/>
  <sheetViews>
    <sheetView workbookViewId="0">
      <selection activeCell="C15" sqref="C15"/>
    </sheetView>
  </sheetViews>
  <sheetFormatPr defaultRowHeight="15" x14ac:dyDescent="0.25"/>
  <cols>
    <col min="1" max="1" width="19.42578125" bestFit="1" customWidth="1"/>
    <col min="2" max="2" width="14" customWidth="1"/>
    <col min="4" max="4" width="10.140625" bestFit="1" customWidth="1"/>
    <col min="5" max="5" width="19" bestFit="1" customWidth="1"/>
    <col min="6" max="6" width="13.7109375" bestFit="1" customWidth="1"/>
    <col min="7" max="8" width="12.85546875" bestFit="1" customWidth="1"/>
  </cols>
  <sheetData>
    <row r="1" spans="1:8" x14ac:dyDescent="0.25">
      <c r="A1" s="6" t="s">
        <v>34</v>
      </c>
      <c r="B1" s="6" t="s">
        <v>35</v>
      </c>
      <c r="C1" s="6" t="s">
        <v>48</v>
      </c>
      <c r="D1" s="6" t="s">
        <v>49</v>
      </c>
      <c r="E1" s="6" t="s">
        <v>51</v>
      </c>
      <c r="F1" s="6" t="s">
        <v>50</v>
      </c>
      <c r="G1" s="6" t="s">
        <v>58</v>
      </c>
      <c r="H1" s="6" t="s">
        <v>57</v>
      </c>
    </row>
    <row r="2" spans="1:8" x14ac:dyDescent="0.25">
      <c r="A2" t="s">
        <v>39</v>
      </c>
      <c r="B2" t="s">
        <v>6</v>
      </c>
      <c r="C2">
        <v>241235</v>
      </c>
      <c r="D2">
        <v>214</v>
      </c>
      <c r="E2" s="7">
        <f>D2*C2*365/1000000000</f>
        <v>18.842865849999999</v>
      </c>
      <c r="F2" s="9" t="s">
        <v>52</v>
      </c>
      <c r="G2" s="10">
        <f>C2*1.12/1000000</f>
        <v>0.27018320000000001</v>
      </c>
      <c r="H2" s="10">
        <f>C2*1.24/1000000</f>
        <v>0.29913140000000005</v>
      </c>
    </row>
    <row r="3" spans="1:8" x14ac:dyDescent="0.25">
      <c r="A3" t="s">
        <v>38</v>
      </c>
      <c r="B3" t="s">
        <v>6</v>
      </c>
      <c r="C3">
        <v>265238</v>
      </c>
      <c r="D3">
        <v>200</v>
      </c>
      <c r="E3" s="7">
        <f t="shared" ref="E3:E12" si="0">D3*C3*365/1000000000</f>
        <v>19.362373999999999</v>
      </c>
      <c r="F3" s="9" t="s">
        <v>52</v>
      </c>
      <c r="G3" s="10">
        <f t="shared" ref="G3:G12" si="1">C3*1.12/1000000</f>
        <v>0.29706656000000004</v>
      </c>
      <c r="H3" s="10">
        <f t="shared" ref="H3:H12" si="2">C3*1.24/1000000</f>
        <v>0.32889511999999999</v>
      </c>
    </row>
    <row r="4" spans="1:8" x14ac:dyDescent="0.25">
      <c r="A4" t="s">
        <v>42</v>
      </c>
      <c r="B4" t="s">
        <v>6</v>
      </c>
      <c r="C4">
        <v>243311</v>
      </c>
      <c r="D4">
        <v>223</v>
      </c>
      <c r="E4" s="7">
        <f t="shared" si="0"/>
        <v>19.804298845000002</v>
      </c>
      <c r="F4" s="9" t="s">
        <v>52</v>
      </c>
      <c r="G4" s="10">
        <f t="shared" si="1"/>
        <v>0.27250832000000003</v>
      </c>
      <c r="H4" s="10">
        <f t="shared" si="2"/>
        <v>0.30170564</v>
      </c>
    </row>
    <row r="5" spans="1:8" x14ac:dyDescent="0.25">
      <c r="A5" t="s">
        <v>37</v>
      </c>
      <c r="B5" t="s">
        <v>6</v>
      </c>
      <c r="C5">
        <v>371385</v>
      </c>
      <c r="D5">
        <v>164</v>
      </c>
      <c r="E5" s="7">
        <f t="shared" si="0"/>
        <v>22.231106100000002</v>
      </c>
      <c r="F5" t="s">
        <v>53</v>
      </c>
      <c r="G5" s="10">
        <f t="shared" si="1"/>
        <v>0.41595120000000002</v>
      </c>
      <c r="H5" s="10">
        <f t="shared" si="2"/>
        <v>0.46051740000000002</v>
      </c>
    </row>
    <row r="6" spans="1:8" x14ac:dyDescent="0.25">
      <c r="A6" t="s">
        <v>36</v>
      </c>
      <c r="B6" t="s">
        <v>47</v>
      </c>
      <c r="C6">
        <v>307231</v>
      </c>
      <c r="D6">
        <v>192</v>
      </c>
      <c r="E6" s="7">
        <f t="shared" si="0"/>
        <v>21.53074848</v>
      </c>
      <c r="F6" t="s">
        <v>53</v>
      </c>
      <c r="G6" s="10">
        <f t="shared" si="1"/>
        <v>0.34409872000000002</v>
      </c>
      <c r="H6" s="10">
        <f t="shared" si="2"/>
        <v>0.38096644000000002</v>
      </c>
    </row>
    <row r="7" spans="1:8" x14ac:dyDescent="0.25">
      <c r="A7" t="s">
        <v>44</v>
      </c>
      <c r="B7" t="s">
        <v>47</v>
      </c>
      <c r="C7">
        <v>419396</v>
      </c>
      <c r="D7">
        <v>176</v>
      </c>
      <c r="E7" s="7">
        <f t="shared" si="0"/>
        <v>26.941999039999999</v>
      </c>
      <c r="F7" t="s">
        <v>53</v>
      </c>
      <c r="G7" s="10">
        <f t="shared" si="1"/>
        <v>0.46972352000000001</v>
      </c>
      <c r="H7" s="10">
        <f t="shared" si="2"/>
        <v>0.52005104000000002</v>
      </c>
    </row>
    <row r="8" spans="1:8" x14ac:dyDescent="0.25">
      <c r="A8" t="s">
        <v>43</v>
      </c>
      <c r="B8" t="s">
        <v>47</v>
      </c>
      <c r="C8">
        <v>468702</v>
      </c>
      <c r="D8">
        <v>206</v>
      </c>
      <c r="E8" s="7">
        <f t="shared" si="0"/>
        <v>35.241703379999997</v>
      </c>
      <c r="F8" t="s">
        <v>54</v>
      </c>
      <c r="G8" s="10">
        <f t="shared" si="1"/>
        <v>0.52494624000000012</v>
      </c>
      <c r="H8" s="10">
        <f t="shared" si="2"/>
        <v>0.58119047999999995</v>
      </c>
    </row>
    <row r="9" spans="1:8" x14ac:dyDescent="0.25">
      <c r="A9" t="s">
        <v>45</v>
      </c>
      <c r="B9" t="s">
        <v>47</v>
      </c>
      <c r="C9">
        <v>636531</v>
      </c>
      <c r="D9">
        <v>193</v>
      </c>
      <c r="E9" s="7">
        <f t="shared" si="0"/>
        <v>44.840426295</v>
      </c>
      <c r="F9" t="s">
        <v>55</v>
      </c>
      <c r="G9" s="10">
        <f t="shared" si="1"/>
        <v>0.71291472000000011</v>
      </c>
      <c r="H9" s="10">
        <f t="shared" si="2"/>
        <v>0.78929843999999993</v>
      </c>
    </row>
    <row r="10" spans="1:8" x14ac:dyDescent="0.25">
      <c r="A10" t="s">
        <v>41</v>
      </c>
      <c r="B10" t="s">
        <v>8</v>
      </c>
      <c r="C10">
        <v>479892</v>
      </c>
      <c r="D10">
        <v>180</v>
      </c>
      <c r="E10" s="7">
        <f t="shared" si="0"/>
        <v>31.528904399999998</v>
      </c>
      <c r="F10" t="s">
        <v>54</v>
      </c>
      <c r="G10" s="10">
        <f t="shared" si="1"/>
        <v>0.53747904000000002</v>
      </c>
      <c r="H10" s="10">
        <f t="shared" si="2"/>
        <v>0.59506607999999994</v>
      </c>
    </row>
    <row r="11" spans="1:8" x14ac:dyDescent="0.25">
      <c r="A11" t="s">
        <v>40</v>
      </c>
      <c r="B11" t="s">
        <v>8</v>
      </c>
      <c r="C11">
        <v>693494</v>
      </c>
      <c r="D11">
        <v>161</v>
      </c>
      <c r="E11" s="7">
        <f t="shared" si="0"/>
        <v>40.753174909999998</v>
      </c>
      <c r="F11" t="s">
        <v>55</v>
      </c>
      <c r="G11" s="10">
        <f t="shared" si="1"/>
        <v>0.77671328000000006</v>
      </c>
      <c r="H11" s="10">
        <f t="shared" si="2"/>
        <v>0.85993255999999996</v>
      </c>
    </row>
    <row r="12" spans="1:8" x14ac:dyDescent="0.25">
      <c r="A12" t="s">
        <v>46</v>
      </c>
      <c r="B12" t="s">
        <v>8</v>
      </c>
      <c r="C12">
        <v>1241165</v>
      </c>
      <c r="D12">
        <v>160</v>
      </c>
      <c r="E12" s="7">
        <f t="shared" si="0"/>
        <v>72.484036000000003</v>
      </c>
      <c r="F12" t="s">
        <v>56</v>
      </c>
      <c r="G12" s="10">
        <f t="shared" si="1"/>
        <v>1.3901048</v>
      </c>
      <c r="H12" s="10">
        <f t="shared" si="2"/>
        <v>1.5390446</v>
      </c>
    </row>
    <row r="21" spans="3:3" x14ac:dyDescent="0.25">
      <c r="C21" s="8"/>
    </row>
  </sheetData>
  <autoFilter ref="A1:E1" xr:uid="{9885FB93-432B-4303-84F1-A4F898D0AC99}">
    <sortState xmlns:xlrd2="http://schemas.microsoft.com/office/spreadsheetml/2017/richdata2" ref="A2:E12">
      <sortCondition ref="B1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9ECD-184B-43C8-9169-15486F35A988}">
  <dimension ref="A1:D2"/>
  <sheetViews>
    <sheetView workbookViewId="0">
      <selection activeCell="A3" sqref="A3:D8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3.42578125" bestFit="1" customWidth="1"/>
    <col min="4" max="4" width="13.14062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>
        <v>10</v>
      </c>
      <c r="C2">
        <v>50</v>
      </c>
      <c r="D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Wastewater Calculations</vt:lpstr>
      <vt:lpstr>API_Removal_Rates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Welch</dc:creator>
  <cp:lastModifiedBy>Sam Welch</cp:lastModifiedBy>
  <dcterms:created xsi:type="dcterms:W3CDTF">2023-01-10T09:20:29Z</dcterms:created>
  <dcterms:modified xsi:type="dcterms:W3CDTF">2023-03-08T11:14:58Z</dcterms:modified>
</cp:coreProperties>
</file>