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436" documentId="8_{63EB4802-57AD-0F44-B5C6-2C4816D8263D}" xr6:coauthVersionLast="47" xr6:coauthVersionMax="47" xr10:uidLastSave="{5B364056-EBCD-D24A-9ADF-EBEC2FBC4BDA}"/>
  <bookViews>
    <workbookView xWindow="5140" yWindow="880" windowWidth="26400" windowHeight="21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I17" i="1" l="1"/>
  <c r="M8" i="4"/>
  <c r="J32" i="1" s="1"/>
  <c r="I15" i="1" a="1"/>
  <c r="I15" i="1" s="1"/>
  <c r="M4" i="2"/>
  <c r="J30" i="1" s="1" a="1"/>
  <c r="J30" i="1" s="1"/>
  <c r="J17" i="1" l="1"/>
  <c r="N8" i="4"/>
  <c r="K32" i="1" s="1"/>
  <c r="N4" i="2"/>
  <c r="K30" i="1" s="1" a="1"/>
  <c r="K30" i="1" s="1"/>
  <c r="J15" i="1" a="1"/>
  <c r="J15" i="1" s="1"/>
  <c r="K17" i="1" l="1"/>
  <c r="O8" i="4"/>
  <c r="L32" i="1" s="1"/>
  <c r="K15" i="1" a="1"/>
  <c r="K15" i="1" s="1"/>
  <c r="O4" i="2"/>
  <c r="L30" i="1" s="1" a="1"/>
  <c r="L30" i="1" s="1"/>
  <c r="L17" i="1" l="1"/>
  <c r="P8" i="4"/>
  <c r="M32" i="1" s="1"/>
  <c r="L15" i="1" a="1"/>
  <c r="L15" i="1" s="1"/>
  <c r="P4" i="2"/>
  <c r="M15" i="1" s="1" a="1"/>
  <c r="M15" i="1" s="1"/>
  <c r="G4" i="9"/>
  <c r="M17" i="1" l="1"/>
  <c r="M30" i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<sst xmlns="http://schemas.openxmlformats.org/spreadsheetml/2006/main" count="401" uniqueCount="116">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</sst>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/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3" fillId="0" borderId="37" xfId="0" applyFont="1" applyBorder="1" applyAlignment="1">
      <alignment horizontal="right" vertical="center"/>
    </xf>
    <xf numFmtId="164" fontId="18" fillId="0" borderId="37" xfId="1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4" fontId="3" fillId="0" borderId="35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161976157819.08929</c:v>
                </c:pt>
                <c:pt idx="1">
                  <c:v>156931277231.19324</c:v>
                </c:pt>
                <c:pt idx="2">
                  <c:v>164834078247.94229</c:v>
                </c:pt>
                <c:pt idx="3">
                  <c:v>166040948057.03406</c:v>
                </c:pt>
                <c:pt idx="4">
                  <c:v>166519091747.56903</c:v>
                </c:pt>
                <c:pt idx="5">
                  <c:v>177744253021.12604</c:v>
                </c:pt>
                <c:pt idx="6">
                  <c:v>178189913279.12527</c:v>
                </c:pt>
                <c:pt idx="7">
                  <c:v>179289913279.12527</c:v>
                </c:pt>
                <c:pt idx="8">
                  <c:v>181060797378.78094</c:v>
                </c:pt>
                <c:pt idx="9">
                  <c:v>181884425411.99948</c:v>
                </c:pt>
                <c:pt idx="10">
                  <c:v>182484425411.99948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345144987777.34271</c:v>
                </c:pt>
                <c:pt idx="3">
                  <c:v>346970583723.94958</c:v>
                </c:pt>
                <c:pt idx="4">
                  <c:v>347206135374.48456</c:v>
                </c:pt>
                <c:pt idx="5">
                  <c:v>346889187870.58691</c:v>
                </c:pt>
                <c:pt idx="6">
                  <c:v>347976588710.17834</c:v>
                </c:pt>
                <c:pt idx="7">
                  <c:v>349076588710.17834</c:v>
                </c:pt>
                <c:pt idx="8">
                  <c:v>351169295259.83398</c:v>
                </c:pt>
                <c:pt idx="9">
                  <c:v>352100197443.05249</c:v>
                </c:pt>
                <c:pt idx="10">
                  <c:v>352700197443.05249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0.25761153783286894</c:v>
                </c:pt>
                <c:pt idx="1">
                  <c:v>0.22383145659188156</c:v>
                </c:pt>
                <c:pt idx="2">
                  <c:v>0.23700398956850918</c:v>
                </c:pt>
                <c:pt idx="3">
                  <c:v>0.23369585926057126</c:v>
                </c:pt>
                <c:pt idx="4">
                  <c:v>0.23035049158009344</c:v>
                </c:pt>
                <c:pt idx="5">
                  <c:v>0.24913612860508491</c:v>
                </c:pt>
                <c:pt idx="6">
                  <c:v>0.24534739747167941</c:v>
                </c:pt>
                <c:pt idx="7">
                  <c:v>0.24534739747167941</c:v>
                </c:pt>
                <c:pt idx="8">
                  <c:v>0.24534739747167941</c:v>
                </c:pt>
                <c:pt idx="9">
                  <c:v>0.24534739747167941</c:v>
                </c:pt>
                <c:pt idx="10">
                  <c:v>0.24534739747167941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90927402059.146957</c:v>
                </c:pt>
                <c:pt idx="1">
                  <c:v>78095509903.296066</c:v>
                </c:pt>
                <c:pt idx="2">
                  <c:v>82066817080.229385</c:v>
                </c:pt>
                <c:pt idx="3">
                  <c:v>80744025805.932816</c:v>
                </c:pt>
                <c:pt idx="4">
                  <c:v>78808369005.932816</c:v>
                </c:pt>
                <c:pt idx="5">
                  <c:v>85633348823.043137</c:v>
                </c:pt>
                <c:pt idx="6">
                  <c:v>84543756214.669556</c:v>
                </c:pt>
                <c:pt idx="7">
                  <c:v>84543756214.669556</c:v>
                </c:pt>
                <c:pt idx="8">
                  <c:v>85214640314.325211</c:v>
                </c:pt>
                <c:pt idx="9">
                  <c:v>85438268347.543762</c:v>
                </c:pt>
                <c:pt idx="10">
                  <c:v>85438268347.543762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topLeftCell="A4" zoomScale="141" zoomScaleNormal="80" workbookViewId="0">
      <selection activeCell="F24" sqref="F24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0.25761153783286894</v>
      </c>
      <c r="D3" s="20">
        <f>'TE Office'!D9</f>
        <v>0.22383145659188156</v>
      </c>
      <c r="E3" s="20">
        <f>'TE Office'!E9</f>
        <v>0.23700398956850918</v>
      </c>
      <c r="F3" s="20">
        <f>'TE Office'!F9</f>
        <v>0.23369585926057126</v>
      </c>
      <c r="G3" s="20">
        <f>'TE Office'!G9</f>
        <v>0.23035049158009344</v>
      </c>
      <c r="H3" s="20">
        <f>'TE Office'!H9</f>
        <v>0.24913612860508491</v>
      </c>
      <c r="I3" s="20">
        <f>'TE Office'!I9</f>
        <v>0.24534739747167941</v>
      </c>
      <c r="J3" s="20">
        <f>'TE Office'!J9</f>
        <v>0.24534739747167941</v>
      </c>
      <c r="K3" s="20">
        <f>'TE Office'!K9</f>
        <v>0.24534739747167941</v>
      </c>
      <c r="L3" s="20">
        <f>'TE Office'!L9</f>
        <v>0.24534739747167941</v>
      </c>
      <c r="M3" s="20">
        <f>'TE Office'!M9</f>
        <v>0.24534739747167941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90927402059.146957</v>
      </c>
      <c r="D13" s="8">
        <f>'TE Office'!D7</f>
        <v>78095509903.296066</v>
      </c>
      <c r="E13" s="8">
        <f>'TE Office'!E7</f>
        <v>82066817080.229385</v>
      </c>
      <c r="F13" s="8">
        <f>'TE Office'!F7</f>
        <v>80744025805.932816</v>
      </c>
      <c r="G13" s="8">
        <f>'TE Office'!G7</f>
        <v>78808369005.932816</v>
      </c>
      <c r="H13" s="8">
        <f>'TE Office'!H7</f>
        <v>85633348823.043137</v>
      </c>
      <c r="I13" s="8">
        <f>'TE Office'!I7</f>
        <v>84543756214.669556</v>
      </c>
      <c r="J13" s="8">
        <f>'TE Office'!J7</f>
        <v>84543756214.669556</v>
      </c>
      <c r="K13" s="8">
        <f>'TE Office'!K7</f>
        <v>85214640314.325211</v>
      </c>
      <c r="L13" s="8">
        <f>'TE Office'!L7</f>
        <v>85438268347.543762</v>
      </c>
      <c r="M13" s="8">
        <f>'TE Office'!M7</f>
        <v>85438268347.543762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19127965858.977055</v>
      </c>
      <c r="F15" s="8" cm="1">
        <f t="array" ref="F15">Table36[2025]</f>
        <v>18769264012.674965</v>
      </c>
      <c r="G15" s="8" cm="1">
        <f t="array" ref="G15">Table36[2026]</f>
        <v>18406524503.693913</v>
      </c>
      <c r="H15" s="8" cm="1">
        <f t="array" ref="H15">Table36[2027]</f>
        <v>20443458377.990322</v>
      </c>
      <c r="I15" s="8" cm="1">
        <f t="array" ref="I15">Table36[2028]</f>
        <v>20032644798.660099</v>
      </c>
      <c r="J15" s="8" cm="1">
        <f t="array" ref="J15">Table36[2029]</f>
        <v>20032644798.660099</v>
      </c>
      <c r="K15" s="8" cm="1">
        <f t="array" ref="K15">Table36[2030]</f>
        <v>20032644798.660099</v>
      </c>
      <c r="L15" s="8" cm="1">
        <f t="array" ref="L15">Table36[2031]</f>
        <v>20032644798.660099</v>
      </c>
      <c r="M15" s="8" cm="1">
        <f t="array" ref="M15">Table36[2032]</f>
        <v>20032644798.660099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7663997929.2672911</v>
      </c>
      <c r="F17" s="8">
        <f>Table4[[#Totals],[2025]]</f>
        <v>7529590857.7576752</v>
      </c>
      <c r="G17" s="8">
        <f>Table4[[#Totals],[2026]]</f>
        <v>7393670857.2737103</v>
      </c>
      <c r="H17" s="8">
        <f>Table4[[#Totals],[2027]]</f>
        <v>8156918439.4239998</v>
      </c>
      <c r="I17" s="8">
        <f>Table4[[#Totals],[2028]]</f>
        <v>8002984885.1270523</v>
      </c>
      <c r="J17" s="8">
        <f>Table4[[#Totals],[2029]]</f>
        <v>8002984885.1270523</v>
      </c>
      <c r="K17" s="8">
        <f>Table4[[#Totals],[2030]]</f>
        <v>8002984885.1270523</v>
      </c>
      <c r="L17" s="8">
        <f>Table4[[#Totals],[2031]]</f>
        <v>8002984885.1270523</v>
      </c>
      <c r="M17" s="8">
        <f>Table4[[#Totals],[2032]]</f>
        <v>8002984885.1270523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161976157819.08929</v>
      </c>
      <c r="D23" s="9">
        <f>SUBTOTAL(109,Table2[2023])</f>
        <v>156931277231.19324</v>
      </c>
      <c r="E23" s="9">
        <f>SUBTOTAL(109,Table2[2024])</f>
        <v>164834078247.94229</v>
      </c>
      <c r="F23" s="9">
        <f>SUBTOTAL(109,Table2[2025])</f>
        <v>166040948057.03406</v>
      </c>
      <c r="G23" s="9">
        <f>SUBTOTAL(109,Table2[2026])</f>
        <v>166519091747.56903</v>
      </c>
      <c r="H23" s="9">
        <f>SUBTOTAL(109,Table2[2027])</f>
        <v>177744253021.12604</v>
      </c>
      <c r="I23" s="9">
        <f>SUBTOTAL(109,Table2[2028])</f>
        <v>178189913279.12527</v>
      </c>
      <c r="J23" s="9">
        <f>SUBTOTAL(109,Table2[2029])</f>
        <v>179289913279.12527</v>
      </c>
      <c r="K23" s="9">
        <f>SUBTOTAL(109,Table2[2030])</f>
        <v>181060797378.78094</v>
      </c>
      <c r="L23" s="9">
        <f>SUBTOTAL(109,Table2[2031])</f>
        <v>181884425411.99948</v>
      </c>
      <c r="M23" s="9">
        <f>SUBTOTAL(109,Table2[2032])</f>
        <v>182484425411.99948</v>
      </c>
      <c r="N23" s="24"/>
    </row>
    <row r="24" spans="2:14" ht="20" customHeight="1" x14ac:dyDescent="0.2">
      <c r="D24" s="8">
        <f>Table2[[#Totals],[2023]]/14750</f>
        <v>10639408.625843609</v>
      </c>
      <c r="E24" s="8">
        <f>Table2[[#Totals],[2024]]/14750</f>
        <v>11175191.745623207</v>
      </c>
      <c r="F24" s="8">
        <f>Table2[[#Totals],[2025]]/14750</f>
        <v>11257013.42759553</v>
      </c>
      <c r="G24" s="8">
        <f>Table2[[#Totals],[2026]]/14750</f>
        <v>11289429.948987732</v>
      </c>
      <c r="H24" s="8">
        <f>Table2[[#Totals],[2027]]/14750</f>
        <v>12050457.831940748</v>
      </c>
      <c r="I24" s="8">
        <f>Table2[[#Totals],[2028]]/14750</f>
        <v>12080672.086720357</v>
      </c>
      <c r="J24" s="8">
        <f>Table2[[#Totals],[2029]]/14750</f>
        <v>12155248.357906798</v>
      </c>
      <c r="K24" s="8">
        <f>Table2[[#Totals],[2030]]/14750</f>
        <v>12275308.296866504</v>
      </c>
      <c r="L24" s="8">
        <f>Table2[[#Totals],[2031]]/14750</f>
        <v>12331147.485559287</v>
      </c>
      <c r="M24" s="8">
        <f>Table2[[#Totals],[2032]]/14750</f>
        <v>12371825.451660981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19127965858.977055</v>
      </c>
      <c r="F30" s="8" cm="1">
        <f t="array" ref="F30">Table36[2025]</f>
        <v>18769264012.674965</v>
      </c>
      <c r="G30" s="8" cm="1">
        <f t="array" ref="G30">Table36[2026]</f>
        <v>18406524503.693913</v>
      </c>
      <c r="H30" s="8" cm="1">
        <f t="array" ref="H30">Table36[2027]</f>
        <v>20443458377.990322</v>
      </c>
      <c r="I30" s="8" cm="1">
        <f t="array" ref="I30">Table36[2028]</f>
        <v>20032644798.660099</v>
      </c>
      <c r="J30" s="8" cm="1">
        <f t="array" ref="J30">Table36[2029]</f>
        <v>20032644798.660099</v>
      </c>
      <c r="K30" s="8" cm="1">
        <f t="array" ref="K30">Table36[2030]</f>
        <v>20032644798.660099</v>
      </c>
      <c r="L30" s="8" cm="1">
        <f t="array" ref="L30">Table36[2031]</f>
        <v>20032644798.660099</v>
      </c>
      <c r="M30" s="8" cm="1">
        <f t="array" ref="M30">Table36[2032]</f>
        <v>20032644798.660099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7663997929.2672911</v>
      </c>
      <c r="F32" s="8">
        <f>Table4[[#Totals],[2025]]</f>
        <v>7529590857.7576752</v>
      </c>
      <c r="G32" s="8">
        <f>Table4[[#Totals],[2026]]</f>
        <v>7393670857.2737103</v>
      </c>
      <c r="H32" s="8">
        <f>Table4[[#Totals],[2027]]</f>
        <v>8156918439.4239998</v>
      </c>
      <c r="I32" s="8">
        <f>Table4[[#Totals],[2028]]</f>
        <v>8002984885.1270523</v>
      </c>
      <c r="J32" s="8">
        <f>Table4[[#Totals],[2029]]</f>
        <v>8002984885.1270523</v>
      </c>
      <c r="K32" s="8">
        <f>Table4[[#Totals],[2030]]</f>
        <v>8002984885.1270523</v>
      </c>
      <c r="L32" s="8">
        <f>Table4[[#Totals],[2031]]</f>
        <v>8002984885.1270523</v>
      </c>
      <c r="M32" s="8">
        <f>Table4[[#Totals],[2032]]</f>
        <v>8002984885.1270523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345144987777.34271</v>
      </c>
      <c r="F38" s="9">
        <f>SUBTOTAL(109,Table211[2025])</f>
        <v>346970583723.94958</v>
      </c>
      <c r="G38" s="9">
        <f>SUBTOTAL(109,Table211[2026])</f>
        <v>347206135374.48456</v>
      </c>
      <c r="H38" s="9">
        <f>SUBTOTAL(109,Table211[2027])</f>
        <v>346889187870.58691</v>
      </c>
      <c r="I38" s="9">
        <f>SUBTOTAL(109,Table211[2028])</f>
        <v>347976588710.17834</v>
      </c>
      <c r="J38" s="9">
        <f>SUBTOTAL(109,Table211[2029])</f>
        <v>349076588710.17834</v>
      </c>
      <c r="K38" s="9">
        <f>SUBTOTAL(109,Table211[2030])</f>
        <v>351169295259.83398</v>
      </c>
      <c r="L38" s="9">
        <f>SUBTOTAL(109,Table211[2031])</f>
        <v>352100197443.05249</v>
      </c>
      <c r="M38" s="9">
        <f>SUBTOTAL(109,Table211[2032])</f>
        <v>352700197443.05249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23399660.188294422</v>
      </c>
      <c r="F39" s="8">
        <f>Table211[[#Totals],[2025]]/14750</f>
        <v>23523429.405013531</v>
      </c>
      <c r="G39" s="8">
        <f>Table211[[#Totals],[2026]]/14750</f>
        <v>23539399.00843963</v>
      </c>
      <c r="H39" s="8">
        <f>Table211[[#Totals],[2027]]/14750</f>
        <v>23517911.042073689</v>
      </c>
      <c r="I39" s="8">
        <f>Table211[[#Totals],[2028]]/14750</f>
        <v>23591633.132893447</v>
      </c>
      <c r="J39" s="8">
        <f>Table211[[#Totals],[2029]]/14750</f>
        <v>23666209.404079888</v>
      </c>
      <c r="K39" s="8">
        <f>Table211[[#Totals],[2030]]/14750</f>
        <v>23808087.814226031</v>
      </c>
      <c r="L39" s="8">
        <f>Table211[[#Totals],[2031]]/14750</f>
        <v>23871199.826647628</v>
      </c>
      <c r="M39" s="8">
        <f>Table211[[#Totals],[2032]]/14750</f>
        <v>23911877.792749323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A2:ED79"/>
  <sheetViews>
    <sheetView showGridLines="0" tabSelected="1" zoomScale="94" zoomScaleNormal="100" workbookViewId="0">
      <selection activeCell="B3" sqref="B3:M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2" spans="1:134" ht="17" thickBot="1" x14ac:dyDescent="0.25"/>
    <row r="3" spans="1:134" s="6" customFormat="1" ht="21" customHeight="1" x14ac:dyDescent="0.2">
      <c r="A3" s="101"/>
      <c r="B3" s="102"/>
      <c r="C3" s="103">
        <v>0</v>
      </c>
      <c r="D3" s="103">
        <v>1</v>
      </c>
      <c r="E3" s="103">
        <v>2</v>
      </c>
      <c r="F3" s="103">
        <v>3</v>
      </c>
      <c r="G3" s="103">
        <v>4</v>
      </c>
      <c r="H3" s="103">
        <v>5</v>
      </c>
      <c r="I3" s="103">
        <v>6</v>
      </c>
      <c r="J3" s="103">
        <v>7</v>
      </c>
      <c r="K3" s="103">
        <v>8</v>
      </c>
      <c r="L3" s="103">
        <v>9</v>
      </c>
      <c r="M3" s="103">
        <v>10</v>
      </c>
      <c r="N3" s="103"/>
      <c r="O3" s="104"/>
    </row>
    <row r="4" spans="1:134" s="6" customFormat="1" ht="21" customHeight="1" thickBot="1" x14ac:dyDescent="0.25">
      <c r="A4" s="105"/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115"/>
      <c r="O4" s="116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5"/>
      <c r="DT4" s="115"/>
      <c r="DU4" s="115"/>
      <c r="DV4" s="115"/>
      <c r="DW4" s="115"/>
      <c r="DX4" s="115"/>
      <c r="DY4" s="115"/>
      <c r="DZ4" s="115"/>
      <c r="EA4" s="115"/>
      <c r="EB4" s="115"/>
      <c r="EC4" s="115"/>
      <c r="ED4" s="115"/>
    </row>
    <row r="5" spans="1:134" ht="21" customHeight="1" x14ac:dyDescent="0.2">
      <c r="A5" s="106"/>
      <c r="B5" s="29" t="s">
        <v>65</v>
      </c>
      <c r="C5" s="32">
        <v>77781892471.217407</v>
      </c>
      <c r="D5" s="33">
        <v>66672574024.878815</v>
      </c>
      <c r="E5" s="33">
        <v>69325573983.726395</v>
      </c>
      <c r="F5" s="33">
        <v>67964149813.726395</v>
      </c>
      <c r="G5" s="33">
        <v>66211360263.726395</v>
      </c>
      <c r="H5" s="33">
        <v>71330708143.726395</v>
      </c>
      <c r="I5" s="33">
        <v>70231562088.682358</v>
      </c>
      <c r="J5" s="33">
        <v>70231562088.682358</v>
      </c>
      <c r="K5" s="33">
        <v>70231562088.682358</v>
      </c>
      <c r="L5" s="33">
        <v>70231562088.682358</v>
      </c>
      <c r="M5" s="33">
        <v>70231562088.682358</v>
      </c>
      <c r="N5" s="38"/>
      <c r="O5" s="107"/>
    </row>
    <row r="6" spans="1:134" ht="21" customHeight="1" x14ac:dyDescent="0.2">
      <c r="A6" s="106"/>
      <c r="B6" s="29" t="s">
        <v>66</v>
      </c>
      <c r="C6" s="32">
        <v>13145509587.929544</v>
      </c>
      <c r="D6" s="33">
        <v>11422935878.417253</v>
      </c>
      <c r="E6" s="33">
        <v>12741243096.502985</v>
      </c>
      <c r="F6" s="33">
        <v>12779875992.206425</v>
      </c>
      <c r="G6" s="33">
        <v>12597008742.206425</v>
      </c>
      <c r="H6" s="33">
        <v>14302640679.316746</v>
      </c>
      <c r="I6" s="33">
        <v>14312194125.987206</v>
      </c>
      <c r="J6" s="33">
        <v>14312194125.987206</v>
      </c>
      <c r="K6" s="33">
        <v>14983078225.642855</v>
      </c>
      <c r="L6" s="33">
        <v>15206706258.861404</v>
      </c>
      <c r="M6" s="33">
        <v>15206706258.861404</v>
      </c>
      <c r="N6" s="39"/>
      <c r="O6" s="107"/>
    </row>
    <row r="7" spans="1:134" s="30" customFormat="1" ht="21" customHeight="1" x14ac:dyDescent="0.2">
      <c r="A7" s="108"/>
      <c r="B7" s="29" t="s">
        <v>20</v>
      </c>
      <c r="C7" s="34">
        <v>90927402059.146957</v>
      </c>
      <c r="D7" s="35">
        <v>78095509903.296066</v>
      </c>
      <c r="E7" s="35">
        <v>82066817080.229385</v>
      </c>
      <c r="F7" s="35">
        <v>80744025805.932816</v>
      </c>
      <c r="G7" s="35">
        <v>78808369005.932816</v>
      </c>
      <c r="H7" s="35">
        <v>85633348823.043137</v>
      </c>
      <c r="I7" s="35">
        <v>84543756214.669556</v>
      </c>
      <c r="J7" s="35">
        <v>84543756214.669556</v>
      </c>
      <c r="K7" s="35">
        <v>85214640314.325211</v>
      </c>
      <c r="L7" s="35">
        <v>85438268347.543762</v>
      </c>
      <c r="M7" s="35">
        <v>85438268347.543762</v>
      </c>
      <c r="N7" s="40"/>
      <c r="O7" s="109"/>
    </row>
    <row r="8" spans="1:134" ht="21" customHeight="1" x14ac:dyDescent="0.2">
      <c r="A8" s="106"/>
      <c r="B8" s="29" t="s">
        <v>67</v>
      </c>
      <c r="C8" s="32">
        <v>15646.416176106604</v>
      </c>
      <c r="D8" s="33">
        <v>13594.73318859197</v>
      </c>
      <c r="E8" s="33">
        <v>14394.786380229363</v>
      </c>
      <c r="F8" s="33">
        <v>14193.862213562694</v>
      </c>
      <c r="G8" s="33">
        <v>13990.676380229363</v>
      </c>
      <c r="H8" s="33">
        <v>15131.649713562694</v>
      </c>
      <c r="I8" s="33">
        <v>14901.535547903337</v>
      </c>
      <c r="J8" s="33">
        <v>14901.535547903337</v>
      </c>
      <c r="K8" s="33">
        <v>14901.535547903337</v>
      </c>
      <c r="L8" s="33">
        <v>14901.535547903337</v>
      </c>
      <c r="M8" s="33">
        <v>14901.535547903337</v>
      </c>
      <c r="N8" s="39"/>
      <c r="O8" s="107"/>
    </row>
    <row r="9" spans="1:134" ht="21" customHeight="1" thickBot="1" x14ac:dyDescent="0.25">
      <c r="A9" s="106"/>
      <c r="B9" s="29" t="s">
        <v>68</v>
      </c>
      <c r="C9" s="36">
        <v>0.25761153783286894</v>
      </c>
      <c r="D9" s="37">
        <v>0.22383145659188156</v>
      </c>
      <c r="E9" s="37">
        <v>0.23700398956850918</v>
      </c>
      <c r="F9" s="37">
        <v>0.23369585926057126</v>
      </c>
      <c r="G9" s="37">
        <v>0.23035049158009344</v>
      </c>
      <c r="H9" s="37">
        <v>0.24913612860508491</v>
      </c>
      <c r="I9" s="37">
        <v>0.24534739747167941</v>
      </c>
      <c r="J9" s="37">
        <v>0.24534739747167941</v>
      </c>
      <c r="K9" s="37">
        <v>0.24534739747167941</v>
      </c>
      <c r="L9" s="37">
        <v>0.24534739747167941</v>
      </c>
      <c r="M9" s="37">
        <v>0.24534739747167941</v>
      </c>
      <c r="N9" s="41"/>
      <c r="O9" s="107"/>
    </row>
    <row r="10" spans="1:134" ht="21" customHeight="1" thickBot="1" x14ac:dyDescent="0.25">
      <c r="A10" s="110"/>
      <c r="B10" s="111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3"/>
      <c r="O10" s="114"/>
    </row>
    <row r="11" spans="1:134" ht="21" customHeight="1" x14ac:dyDescent="0.2">
      <c r="D11" s="100"/>
    </row>
    <row r="12" spans="1:13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1:13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5"/>
      <c r="DV13" s="115"/>
      <c r="DW13" s="115"/>
      <c r="DX13" s="115"/>
      <c r="DY13" s="115"/>
      <c r="DZ13" s="115"/>
      <c r="EA13" s="115"/>
      <c r="EB13" s="115"/>
      <c r="EC13" s="115"/>
      <c r="ED13" s="115"/>
    </row>
    <row r="14" spans="1:13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1:13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1:13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0.25761153783286894</v>
      </c>
      <c r="G2" s="62">
        <f>Summary!$D$3</f>
        <v>0.22383145659188156</v>
      </c>
      <c r="H2" s="63">
        <f>Summary!$E$3</f>
        <v>0.23700398956850918</v>
      </c>
      <c r="I2" s="63">
        <f>Summary!$F$3</f>
        <v>0.23369585926057126</v>
      </c>
      <c r="J2" s="63">
        <f>Summary!$G$3</f>
        <v>0.23035049158009344</v>
      </c>
      <c r="K2" s="63">
        <f>Summary!$H$3</f>
        <v>0.24913612860508491</v>
      </c>
      <c r="L2" s="63">
        <f>Summary!$I$3</f>
        <v>0.24534739747167941</v>
      </c>
      <c r="M2" s="63">
        <f>Summary!$J$3</f>
        <v>0.24534739747167941</v>
      </c>
      <c r="N2" s="63">
        <f>Summary!$K$3</f>
        <v>0.24534739747167941</v>
      </c>
      <c r="O2" s="63">
        <f>Summary!$L$3</f>
        <v>0.24534739747167941</v>
      </c>
      <c r="P2" s="63">
        <f>Summary!$M$3</f>
        <v>0.24534739747167941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23" t="s">
        <v>22</v>
      </c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19127965858.977055</v>
      </c>
      <c r="I4" s="67">
        <f>Table36[[#This Row],[2024]]+(I2-H2)*100*$H$9</f>
        <v>18769264012.674965</v>
      </c>
      <c r="J4" s="67">
        <f>Table36[[#This Row],[2025]]+(J2-I2)*100*$H$9</f>
        <v>18406524503.693913</v>
      </c>
      <c r="K4" s="67">
        <f>Table36[[#This Row],[2026]]+(K2-J2)*100*$H$9</f>
        <v>20443458377.990322</v>
      </c>
      <c r="L4" s="67">
        <f>Table36[[#This Row],[2027]]+(L2-K2)*100*$H$9</f>
        <v>20032644798.660099</v>
      </c>
      <c r="M4" s="67">
        <f>Table36[[#This Row],[2028]]+(M2-L2)*100*$H$9</f>
        <v>20032644798.660099</v>
      </c>
      <c r="N4" s="67">
        <f>Table36[[#This Row],[2029]]+(N2-M2)*100*$H$9</f>
        <v>20032644798.660099</v>
      </c>
      <c r="O4" s="67">
        <f>Table36[[#This Row],[2030]]+(O2-N2)*100*$H$9</f>
        <v>20032644798.660099</v>
      </c>
      <c r="P4" s="67">
        <f>Table36[[#This Row],[2031]]+(P2-O2)*100*$H$9</f>
        <v>20032644798.660099</v>
      </c>
      <c r="Q4" s="79"/>
      <c r="W4" s="45"/>
      <c r="X4" s="125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27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28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23" t="s">
        <v>41</v>
      </c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45"/>
    </row>
    <row r="14" spans="2:38" x14ac:dyDescent="0.2">
      <c r="F14" s="77" t="s">
        <v>73</v>
      </c>
      <c r="G14" s="78" t="s">
        <v>74</v>
      </c>
      <c r="W14" s="45"/>
      <c r="X14" s="125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45"/>
    </row>
    <row r="15" spans="2:38" x14ac:dyDescent="0.2">
      <c r="W15" s="45"/>
      <c r="X15" s="127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28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19" t="s">
        <v>42</v>
      </c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56"/>
    </row>
    <row r="24" spans="23:38" ht="15" customHeight="1" x14ac:dyDescent="0.2">
      <c r="X24" s="121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56"/>
    </row>
    <row r="25" spans="23:38" ht="20.25" customHeight="1" x14ac:dyDescent="0.2">
      <c r="X25" s="117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18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19" t="s">
        <v>43</v>
      </c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56"/>
    </row>
    <row r="34" spans="24:38" ht="15" customHeight="1" x14ac:dyDescent="0.2">
      <c r="X34" s="121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56"/>
    </row>
    <row r="35" spans="24:38" ht="20.25" customHeight="1" x14ac:dyDescent="0.2">
      <c r="X35" s="117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18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0.25761153783286894</v>
      </c>
      <c r="G2" s="43">
        <f>Summary!$D$3</f>
        <v>0.22383145659188156</v>
      </c>
      <c r="H2" s="62">
        <f>Summary!$E$3</f>
        <v>0.23700398956850918</v>
      </c>
      <c r="I2" s="63">
        <f>Summary!$F$3</f>
        <v>0.23369585926057126</v>
      </c>
      <c r="J2" s="63">
        <f>Summary!$G$3</f>
        <v>0.23035049158009344</v>
      </c>
      <c r="K2" s="63">
        <f>Summary!$H$3</f>
        <v>0.24913612860508491</v>
      </c>
      <c r="L2" s="63">
        <f>Summary!$I$3</f>
        <v>0.24534739747167941</v>
      </c>
      <c r="M2" s="63">
        <f>Summary!$J$3</f>
        <v>0.24534739747167941</v>
      </c>
      <c r="N2" s="63">
        <f>Summary!$K$3</f>
        <v>0.24534739747167941</v>
      </c>
      <c r="O2" s="63">
        <f>Summary!$L$3</f>
        <v>0.24534739747167941</v>
      </c>
      <c r="P2" s="63">
        <f>Summary!$M$3</f>
        <v>0.24534739747167941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7663997929.2672911</v>
      </c>
      <c r="I8" s="82">
        <f>Table4[[#Totals],[2024]]+(I2-H2)*100*$I$11</f>
        <v>7529590857.7576752</v>
      </c>
      <c r="J8" s="82">
        <f>Table4[[#Totals],[2025]]+(J2-I2)*100*$I$11</f>
        <v>7393670857.2737103</v>
      </c>
      <c r="K8" s="82">
        <f>Table4[[#Totals],[2026]]+(K2-J2)*100*$I$11</f>
        <v>8156918439.4239998</v>
      </c>
      <c r="L8" s="82">
        <f>Table4[[#Totals],[2027]]+(L2-K2)*100*$I$11</f>
        <v>8002984885.1270523</v>
      </c>
      <c r="M8" s="82">
        <f>Table4[[#Totals],[2028]]+(M2-L2)*100*$I$11</f>
        <v>8002984885.1270523</v>
      </c>
      <c r="N8" s="82">
        <f>Table4[[#Totals],[2029]]+(N2-M2)*100*$I$11</f>
        <v>8002984885.1270523</v>
      </c>
      <c r="O8" s="82">
        <f>Table4[[#Totals],[2030]]+(O2-N2)*100*$I$11</f>
        <v>8002984885.1270523</v>
      </c>
      <c r="P8" s="82">
        <f>Table4[[#Totals],[2031]]+(P2-O2)*100*$I$11</f>
        <v>8002984885.1270523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2022-11-03T12:20:55Z</dcterms:modified>
</cp:coreProperties>
</file>