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ables/table3.xml" ContentType="application/vnd.openxmlformats-officedocument.spreadsheetml.table+xml"/>
  <Override PartName="/xl/drawings/drawing4.xml" ContentType="application/vnd.openxmlformats-officedocument.drawing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db03e8e420626a2/Office/AMG/Development/office/revenue-streamlit/"/>
    </mc:Choice>
  </mc:AlternateContent>
  <xr:revisionPtr revIDLastSave="1473" documentId="13_ncr:1_{BAA92C2C-EB2D-7847-8EC0-F6534D169652}" xr6:coauthVersionLast="47" xr6:coauthVersionMax="47" xr10:uidLastSave="{6E9C9C9E-84DF-CB47-91D5-F2E4A2A5CF05}"/>
  <bookViews>
    <workbookView xWindow="400" yWindow="5280" windowWidth="36000" windowHeight="21500" xr2:uid="{9DA9C85C-0230-484A-A9A5-3ABA148F8E1D}"/>
  </bookViews>
  <sheets>
    <sheet name="Summary" sheetId="1" r:id="rId1"/>
    <sheet name="TE Office (y)" sheetId="7" r:id="rId2"/>
    <sheet name="TE All % (y)" sheetId="16" r:id="rId3"/>
    <sheet name="TE Office (m)" sheetId="15" r:id="rId4"/>
    <sheet name="TE All % (m)" sheetId="14" r:id="rId5"/>
    <sheet name="In-Out 2023 - old" sheetId="13" r:id="rId6"/>
    <sheet name="Ampera" sheetId="6" r:id="rId7"/>
    <sheet name="SH" sheetId="10" r:id="rId8"/>
    <sheet name="Dago" sheetId="9" r:id="rId9"/>
    <sheet name="Listrik" sheetId="17" r:id="rId10"/>
    <sheet name="IT" sheetId="3" r:id="rId11"/>
    <sheet name="Parkir" sheetId="4" r:id="rId12"/>
  </sheets>
  <definedNames>
    <definedName name="_xlnm.Print_Area" localSheetId="0">Summary!$A$2:$P$26</definedName>
    <definedName name="_xlnm.Print_Area" localSheetId="4">'TE All % (m)'!$C$31:$BF$180</definedName>
    <definedName name="_xlnm.Print_Area" localSheetId="3">'TE Office (m)'!$B$22:$BF$146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Q8" i="4" l="1"/>
  <c r="P8" i="4"/>
  <c r="O8" i="4"/>
  <c r="N8" i="4"/>
  <c r="Q4" i="4"/>
  <c r="Q5" i="4"/>
  <c r="Q6" i="4"/>
  <c r="Q7" i="4"/>
  <c r="P4" i="4"/>
  <c r="P5" i="4"/>
  <c r="P6" i="4"/>
  <c r="P7" i="4"/>
  <c r="O4" i="4"/>
  <c r="O5" i="4"/>
  <c r="O6" i="4"/>
  <c r="O7" i="4"/>
  <c r="N4" i="4"/>
  <c r="N5" i="4"/>
  <c r="N6" i="4"/>
  <c r="N7" i="4"/>
  <c r="M4" i="4"/>
  <c r="M5" i="4"/>
  <c r="M6" i="4"/>
  <c r="M7" i="4"/>
  <c r="L4" i="4"/>
  <c r="L5" i="4"/>
  <c r="L6" i="4"/>
  <c r="L7" i="4"/>
  <c r="K4" i="4"/>
  <c r="K5" i="4"/>
  <c r="K6" i="4"/>
  <c r="K7" i="4"/>
  <c r="M8" i="4"/>
  <c r="L8" i="4"/>
  <c r="K8" i="4"/>
  <c r="J8" i="4"/>
  <c r="I4" i="4"/>
  <c r="I5" i="4"/>
  <c r="I6" i="4"/>
  <c r="I7" i="4"/>
  <c r="J7" i="4" s="1"/>
  <c r="I8" i="4"/>
  <c r="J4" i="4"/>
  <c r="J5" i="4"/>
  <c r="J6" i="4"/>
  <c r="H8" i="4"/>
  <c r="H27" i="17" l="1"/>
  <c r="Q4" i="10"/>
  <c r="D15" i="1" l="1" a="1"/>
  <c r="D15" i="1" s="1"/>
  <c r="C15" i="1" a="1"/>
  <c r="C15" i="1"/>
  <c r="D16" i="1"/>
  <c r="E16" i="1"/>
  <c r="F16" i="1"/>
  <c r="G16" i="1"/>
  <c r="H16" i="1"/>
  <c r="I16" i="1"/>
  <c r="J16" i="1"/>
  <c r="K16" i="1"/>
  <c r="L16" i="1"/>
  <c r="M16" i="1"/>
  <c r="N16" i="1"/>
  <c r="C16" i="1"/>
  <c r="D18" i="1"/>
  <c r="E18" i="1"/>
  <c r="C18" i="1"/>
  <c r="D20" i="1"/>
  <c r="E20" i="1"/>
  <c r="F20" i="1"/>
  <c r="G20" i="1"/>
  <c r="H20" i="1"/>
  <c r="I20" i="1"/>
  <c r="J20" i="1"/>
  <c r="K20" i="1"/>
  <c r="L20" i="1"/>
  <c r="M20" i="1"/>
  <c r="N20" i="1"/>
  <c r="C20" i="1"/>
  <c r="C22" i="1"/>
  <c r="G4" i="17"/>
  <c r="F2" i="17"/>
  <c r="AB40" i="17"/>
  <c r="AA40" i="17"/>
  <c r="Z40" i="17"/>
  <c r="AG39" i="17"/>
  <c r="AG40" i="17" s="1"/>
  <c r="AF39" i="17"/>
  <c r="AF40" i="17" s="1"/>
  <c r="AE39" i="17"/>
  <c r="AE40" i="17" s="1"/>
  <c r="AD39" i="17"/>
  <c r="AD40" i="17" s="1"/>
  <c r="AC39" i="17"/>
  <c r="AC40" i="17" s="1"/>
  <c r="AB39" i="17"/>
  <c r="AA39" i="17"/>
  <c r="Z39" i="17"/>
  <c r="AL38" i="17"/>
  <c r="AL37" i="17"/>
  <c r="AE30" i="17"/>
  <c r="AC30" i="17"/>
  <c r="AK29" i="17"/>
  <c r="AK30" i="17" s="1"/>
  <c r="AJ29" i="17"/>
  <c r="AJ30" i="17" s="1"/>
  <c r="AI29" i="17"/>
  <c r="AI30" i="17" s="1"/>
  <c r="AH29" i="17"/>
  <c r="AH30" i="17" s="1"/>
  <c r="AG29" i="17"/>
  <c r="AG30" i="17" s="1"/>
  <c r="AF29" i="17"/>
  <c r="AF30" i="17" s="1"/>
  <c r="AE29" i="17"/>
  <c r="AD29" i="17"/>
  <c r="AD30" i="17" s="1"/>
  <c r="AC29" i="17"/>
  <c r="AB29" i="17"/>
  <c r="AB30" i="17" s="1"/>
  <c r="AA29" i="17"/>
  <c r="AA30" i="17" s="1"/>
  <c r="Z29" i="17"/>
  <c r="Z30" i="17" s="1"/>
  <c r="AL28" i="17"/>
  <c r="AL27" i="17"/>
  <c r="AL19" i="17"/>
  <c r="AL18" i="17"/>
  <c r="AL17" i="17"/>
  <c r="AL9" i="17"/>
  <c r="AL8" i="17"/>
  <c r="AL7" i="17"/>
  <c r="G9" i="17" a="1"/>
  <c r="G9" i="17" s="1"/>
  <c r="H9" i="17" s="1"/>
  <c r="AL39" i="17" l="1"/>
  <c r="AL40" i="17" s="1"/>
  <c r="AL29" i="17"/>
  <c r="AL30" i="17" s="1"/>
  <c r="Q10" i="3" l="1"/>
  <c r="Q9" i="10"/>
  <c r="Q4" i="6"/>
  <c r="E13" i="1"/>
  <c r="F13" i="1"/>
  <c r="G13" i="1"/>
  <c r="H13" i="1"/>
  <c r="I13" i="1"/>
  <c r="J13" i="1"/>
  <c r="K13" i="1"/>
  <c r="L13" i="1"/>
  <c r="M13" i="1"/>
  <c r="N13" i="1"/>
  <c r="D13" i="1"/>
  <c r="E7" i="16" l="1"/>
  <c r="F7" i="16"/>
  <c r="G7" i="16"/>
  <c r="H7" i="16"/>
  <c r="I7" i="16"/>
  <c r="J7" i="16"/>
  <c r="K7" i="16"/>
  <c r="K17" i="16" s="1"/>
  <c r="L7" i="16"/>
  <c r="L17" i="16" s="1"/>
  <c r="M7" i="16"/>
  <c r="M17" i="16" s="1"/>
  <c r="N7" i="16"/>
  <c r="N17" i="16" s="1"/>
  <c r="E8" i="16"/>
  <c r="F8" i="16"/>
  <c r="G8" i="16"/>
  <c r="H8" i="16"/>
  <c r="I8" i="16"/>
  <c r="J8" i="16"/>
  <c r="J18" i="16" s="1"/>
  <c r="K8" i="16"/>
  <c r="K18" i="16" s="1"/>
  <c r="L8" i="16"/>
  <c r="L18" i="16" s="1"/>
  <c r="M8" i="16"/>
  <c r="M18" i="16" s="1"/>
  <c r="N8" i="16"/>
  <c r="N18" i="16" s="1"/>
  <c r="D7" i="16"/>
  <c r="D17" i="16" s="1"/>
  <c r="D8" i="16"/>
  <c r="N6" i="16"/>
  <c r="M6" i="16"/>
  <c r="L6" i="16"/>
  <c r="K6" i="16"/>
  <c r="J6" i="16"/>
  <c r="I6" i="16"/>
  <c r="H6" i="16"/>
  <c r="K16" i="16"/>
  <c r="L16" i="16"/>
  <c r="M16" i="16"/>
  <c r="N16" i="16"/>
  <c r="G6" i="16"/>
  <c r="F6" i="16"/>
  <c r="I16" i="16"/>
  <c r="J16" i="16"/>
  <c r="E6" i="16"/>
  <c r="H16" i="16"/>
  <c r="D6" i="16"/>
  <c r="E5" i="16"/>
  <c r="E9" i="16" s="1"/>
  <c r="E19" i="16" s="1"/>
  <c r="F5" i="16"/>
  <c r="F9" i="16" s="1"/>
  <c r="F19" i="16" s="1"/>
  <c r="G5" i="16"/>
  <c r="G9" i="16" s="1"/>
  <c r="G19" i="16" s="1"/>
  <c r="H5" i="16"/>
  <c r="H15" i="16" s="1"/>
  <c r="I5" i="16"/>
  <c r="I15" i="16" s="1"/>
  <c r="J5" i="16"/>
  <c r="J15" i="16" s="1"/>
  <c r="K5" i="16"/>
  <c r="K15" i="16" s="1"/>
  <c r="L5" i="16"/>
  <c r="L15" i="16" s="1"/>
  <c r="M5" i="16"/>
  <c r="M15" i="16" s="1"/>
  <c r="N5" i="16"/>
  <c r="D5" i="16"/>
  <c r="D9" i="16" s="1"/>
  <c r="D19" i="16" s="1"/>
  <c r="I18" i="16"/>
  <c r="H18" i="16"/>
  <c r="G18" i="16"/>
  <c r="F18" i="16"/>
  <c r="E18" i="16"/>
  <c r="D18" i="16"/>
  <c r="J17" i="16"/>
  <c r="I17" i="16"/>
  <c r="H17" i="16"/>
  <c r="G17" i="16"/>
  <c r="F17" i="16"/>
  <c r="E17" i="16"/>
  <c r="G16" i="16"/>
  <c r="F16" i="16"/>
  <c r="E16" i="16"/>
  <c r="D16" i="16"/>
  <c r="B9" i="16"/>
  <c r="E5" i="14"/>
  <c r="E15" i="14" s="1"/>
  <c r="F5" i="14"/>
  <c r="F9" i="14" s="1"/>
  <c r="F19" i="14" s="1"/>
  <c r="G5" i="14"/>
  <c r="G9" i="14" s="1"/>
  <c r="G19" i="14" s="1"/>
  <c r="H5" i="14"/>
  <c r="H15" i="14" s="1"/>
  <c r="I5" i="14"/>
  <c r="I9" i="14" s="1"/>
  <c r="I19" i="14" s="1"/>
  <c r="J5" i="14"/>
  <c r="J15" i="14" s="1"/>
  <c r="K5" i="14"/>
  <c r="K15" i="14" s="1"/>
  <c r="L5" i="14"/>
  <c r="L15" i="14" s="1"/>
  <c r="M5" i="14"/>
  <c r="M9" i="14" s="1"/>
  <c r="M19" i="14" s="1"/>
  <c r="N5" i="14"/>
  <c r="N9" i="14" s="1"/>
  <c r="N19" i="14" s="1"/>
  <c r="O5" i="14"/>
  <c r="O15" i="14" s="1"/>
  <c r="P5" i="14"/>
  <c r="P15" i="14" s="1"/>
  <c r="Q5" i="14"/>
  <c r="Q9" i="14" s="1"/>
  <c r="Q19" i="14" s="1"/>
  <c r="R5" i="14"/>
  <c r="R9" i="14" s="1"/>
  <c r="R19" i="14" s="1"/>
  <c r="S5" i="14"/>
  <c r="S15" i="14" s="1"/>
  <c r="T5" i="14"/>
  <c r="T15" i="14" s="1"/>
  <c r="U5" i="14"/>
  <c r="U15" i="14" s="1"/>
  <c r="V5" i="14"/>
  <c r="V9" i="14" s="1"/>
  <c r="V19" i="14" s="1"/>
  <c r="W5" i="14"/>
  <c r="W9" i="14" s="1"/>
  <c r="W19" i="14" s="1"/>
  <c r="X5" i="14"/>
  <c r="X9" i="14" s="1"/>
  <c r="X19" i="14" s="1"/>
  <c r="Y5" i="14"/>
  <c r="Y15" i="14" s="1"/>
  <c r="Z5" i="14"/>
  <c r="Z15" i="14" s="1"/>
  <c r="AA5" i="14"/>
  <c r="AA15" i="14" s="1"/>
  <c r="AB5" i="14"/>
  <c r="AB9" i="14" s="1"/>
  <c r="AB19" i="14" s="1"/>
  <c r="AC5" i="14"/>
  <c r="AC9" i="14" s="1"/>
  <c r="AC19" i="14" s="1"/>
  <c r="AD5" i="14"/>
  <c r="AD15" i="14" s="1"/>
  <c r="AE5" i="14"/>
  <c r="AE15" i="14" s="1"/>
  <c r="AF5" i="14"/>
  <c r="AF9" i="14" s="1"/>
  <c r="AF19" i="14" s="1"/>
  <c r="AG5" i="14"/>
  <c r="AG9" i="14" s="1"/>
  <c r="AG19" i="14" s="1"/>
  <c r="AH5" i="14"/>
  <c r="AH9" i="14" s="1"/>
  <c r="AH19" i="14" s="1"/>
  <c r="AI5" i="14"/>
  <c r="AI15" i="14" s="1"/>
  <c r="AJ5" i="14"/>
  <c r="AJ15" i="14" s="1"/>
  <c r="AK5" i="14"/>
  <c r="AK15" i="14" s="1"/>
  <c r="AL5" i="14"/>
  <c r="AL15" i="14" s="1"/>
  <c r="AM5" i="14"/>
  <c r="AM9" i="14" s="1"/>
  <c r="AM19" i="14" s="1"/>
  <c r="AN5" i="14"/>
  <c r="AN15" i="14" s="1"/>
  <c r="AO5" i="14"/>
  <c r="AO15" i="14" s="1"/>
  <c r="AP5" i="14"/>
  <c r="AP9" i="14" s="1"/>
  <c r="AP19" i="14" s="1"/>
  <c r="AQ5" i="14"/>
  <c r="AQ15" i="14" s="1"/>
  <c r="AR5" i="14"/>
  <c r="AR15" i="14" s="1"/>
  <c r="AS5" i="14"/>
  <c r="AS15" i="14" s="1"/>
  <c r="AT5" i="14"/>
  <c r="AT9" i="14" s="1"/>
  <c r="AT19" i="14" s="1"/>
  <c r="AU5" i="14"/>
  <c r="AU15" i="14" s="1"/>
  <c r="AV5" i="14"/>
  <c r="AV15" i="14" s="1"/>
  <c r="AW5" i="14"/>
  <c r="AW9" i="14" s="1"/>
  <c r="AW19" i="14" s="1"/>
  <c r="AX5" i="14"/>
  <c r="AX15" i="14" s="1"/>
  <c r="AY5" i="14"/>
  <c r="AY15" i="14" s="1"/>
  <c r="AZ5" i="14"/>
  <c r="AZ15" i="14" s="1"/>
  <c r="BA5" i="14"/>
  <c r="BA9" i="14" s="1"/>
  <c r="BA19" i="14" s="1"/>
  <c r="BB5" i="14"/>
  <c r="BB9" i="14" s="1"/>
  <c r="BB19" i="14" s="1"/>
  <c r="BC5" i="14"/>
  <c r="BC15" i="14" s="1"/>
  <c r="BD5" i="14"/>
  <c r="BD9" i="14" s="1"/>
  <c r="BD19" i="14" s="1"/>
  <c r="BE5" i="14"/>
  <c r="BE9" i="14" s="1"/>
  <c r="BE19" i="14" s="1"/>
  <c r="BF5" i="14"/>
  <c r="BF9" i="14" s="1"/>
  <c r="BF19" i="14" s="1"/>
  <c r="BG5" i="14"/>
  <c r="BG15" i="14" s="1"/>
  <c r="BH5" i="14"/>
  <c r="BH15" i="14" s="1"/>
  <c r="BI5" i="14"/>
  <c r="BI15" i="14" s="1"/>
  <c r="BJ5" i="14"/>
  <c r="BJ15" i="14" s="1"/>
  <c r="BK5" i="14"/>
  <c r="BK9" i="14" s="1"/>
  <c r="BK19" i="14" s="1"/>
  <c r="BL5" i="14"/>
  <c r="BL9" i="14" s="1"/>
  <c r="BL19" i="14" s="1"/>
  <c r="BM5" i="14"/>
  <c r="BM9" i="14" s="1"/>
  <c r="BM19" i="14" s="1"/>
  <c r="BN5" i="14"/>
  <c r="BN9" i="14" s="1"/>
  <c r="BN19" i="14" s="1"/>
  <c r="BO5" i="14"/>
  <c r="BO9" i="14" s="1"/>
  <c r="BO19" i="14" s="1"/>
  <c r="BP5" i="14"/>
  <c r="BP9" i="14" s="1"/>
  <c r="BP19" i="14" s="1"/>
  <c r="BQ5" i="14"/>
  <c r="BQ15" i="14" s="1"/>
  <c r="BR5" i="14"/>
  <c r="BR15" i="14" s="1"/>
  <c r="BS5" i="14"/>
  <c r="BS15" i="14" s="1"/>
  <c r="BT5" i="14"/>
  <c r="BT9" i="14" s="1"/>
  <c r="BT19" i="14" s="1"/>
  <c r="BU5" i="14"/>
  <c r="BU9" i="14" s="1"/>
  <c r="BU19" i="14" s="1"/>
  <c r="BV5" i="14"/>
  <c r="BV9" i="14" s="1"/>
  <c r="BV19" i="14" s="1"/>
  <c r="BW5" i="14"/>
  <c r="BW15" i="14" s="1"/>
  <c r="BX5" i="14"/>
  <c r="BX15" i="14" s="1"/>
  <c r="BY5" i="14"/>
  <c r="BY15" i="14" s="1"/>
  <c r="BZ5" i="14"/>
  <c r="BZ9" i="14" s="1"/>
  <c r="BZ19" i="14" s="1"/>
  <c r="CA5" i="14"/>
  <c r="CA15" i="14" s="1"/>
  <c r="CB5" i="14"/>
  <c r="CB15" i="14" s="1"/>
  <c r="CC5" i="14"/>
  <c r="CC15" i="14" s="1"/>
  <c r="CD5" i="14"/>
  <c r="CD9" i="14" s="1"/>
  <c r="CD19" i="14" s="1"/>
  <c r="CE5" i="14"/>
  <c r="CE9" i="14" s="1"/>
  <c r="CE19" i="14" s="1"/>
  <c r="CF5" i="14"/>
  <c r="CF9" i="14" s="1"/>
  <c r="CF19" i="14" s="1"/>
  <c r="CG5" i="14"/>
  <c r="CG15" i="14" s="1"/>
  <c r="CH5" i="14"/>
  <c r="CH15" i="14" s="1"/>
  <c r="CI5" i="14"/>
  <c r="CI15" i="14" s="1"/>
  <c r="CJ5" i="14"/>
  <c r="CJ15" i="14" s="1"/>
  <c r="CK5" i="14"/>
  <c r="CK15" i="14" s="1"/>
  <c r="CL5" i="14"/>
  <c r="CL15" i="14" s="1"/>
  <c r="CM5" i="14"/>
  <c r="CM15" i="14" s="1"/>
  <c r="CN5" i="14"/>
  <c r="CN9" i="14" s="1"/>
  <c r="CN19" i="14" s="1"/>
  <c r="CO5" i="14"/>
  <c r="CO9" i="14" s="1"/>
  <c r="CO19" i="14" s="1"/>
  <c r="CP5" i="14"/>
  <c r="CP9" i="14" s="1"/>
  <c r="CP19" i="14" s="1"/>
  <c r="CQ5" i="14"/>
  <c r="CQ9" i="14" s="1"/>
  <c r="CQ19" i="14" s="1"/>
  <c r="CR5" i="14"/>
  <c r="CR9" i="14" s="1"/>
  <c r="CR19" i="14" s="1"/>
  <c r="CS5" i="14"/>
  <c r="CS15" i="14" s="1"/>
  <c r="CT5" i="14"/>
  <c r="CT9" i="14" s="1"/>
  <c r="CT19" i="14" s="1"/>
  <c r="CU5" i="14"/>
  <c r="CU15" i="14" s="1"/>
  <c r="CV5" i="14"/>
  <c r="CV15" i="14" s="1"/>
  <c r="CW5" i="14"/>
  <c r="CW15" i="14" s="1"/>
  <c r="CX5" i="14"/>
  <c r="CX15" i="14" s="1"/>
  <c r="CY5" i="14"/>
  <c r="CY9" i="14" s="1"/>
  <c r="CY19" i="14" s="1"/>
  <c r="CZ5" i="14"/>
  <c r="CZ9" i="14" s="1"/>
  <c r="CZ19" i="14" s="1"/>
  <c r="DA5" i="14"/>
  <c r="DA9" i="14" s="1"/>
  <c r="DA19" i="14" s="1"/>
  <c r="DB5" i="14"/>
  <c r="DB9" i="14" s="1"/>
  <c r="DB19" i="14" s="1"/>
  <c r="DC5" i="14"/>
  <c r="DC9" i="14" s="1"/>
  <c r="DC19" i="14" s="1"/>
  <c r="DD5" i="14"/>
  <c r="DD9" i="14" s="1"/>
  <c r="DD19" i="14" s="1"/>
  <c r="DE5" i="14"/>
  <c r="DE9" i="14" s="1"/>
  <c r="DE19" i="14" s="1"/>
  <c r="DF5" i="14"/>
  <c r="DF15" i="14" s="1"/>
  <c r="DG5" i="14"/>
  <c r="DG15" i="14" s="1"/>
  <c r="DH5" i="14"/>
  <c r="DH15" i="14" s="1"/>
  <c r="DI5" i="14"/>
  <c r="DI9" i="14" s="1"/>
  <c r="DI19" i="14" s="1"/>
  <c r="DJ5" i="14"/>
  <c r="DJ15" i="14" s="1"/>
  <c r="DK5" i="14"/>
  <c r="DK15" i="14" s="1"/>
  <c r="DL5" i="14"/>
  <c r="DL15" i="14" s="1"/>
  <c r="DM5" i="14"/>
  <c r="DM15" i="14" s="1"/>
  <c r="DN5" i="14"/>
  <c r="DN9" i="14" s="1"/>
  <c r="DN19" i="14" s="1"/>
  <c r="DO5" i="14"/>
  <c r="DO9" i="14" s="1"/>
  <c r="DO19" i="14" s="1"/>
  <c r="DP5" i="14"/>
  <c r="DP15" i="14" s="1"/>
  <c r="DQ5" i="14"/>
  <c r="DQ15" i="14" s="1"/>
  <c r="DR5" i="14"/>
  <c r="DR9" i="14" s="1"/>
  <c r="DR19" i="14" s="1"/>
  <c r="DS5" i="14"/>
  <c r="DS9" i="14" s="1"/>
  <c r="DS19" i="14" s="1"/>
  <c r="DT5" i="14"/>
  <c r="DT9" i="14" s="1"/>
  <c r="DT19" i="14" s="1"/>
  <c r="DU5" i="14"/>
  <c r="DU15" i="14" s="1"/>
  <c r="DV5" i="14"/>
  <c r="DV15" i="14" s="1"/>
  <c r="DW5" i="14"/>
  <c r="DW15" i="14" s="1"/>
  <c r="DX5" i="14"/>
  <c r="DX9" i="14" s="1"/>
  <c r="DX19" i="14" s="1"/>
  <c r="DY5" i="14"/>
  <c r="DY9" i="14" s="1"/>
  <c r="DY19" i="14" s="1"/>
  <c r="DZ5" i="14"/>
  <c r="DZ15" i="14" s="1"/>
  <c r="EA5" i="14"/>
  <c r="EA15" i="14" s="1"/>
  <c r="EB5" i="14"/>
  <c r="EB9" i="14" s="1"/>
  <c r="EB19" i="14" s="1"/>
  <c r="EC5" i="14"/>
  <c r="EC9" i="14" s="1"/>
  <c r="EC19" i="14" s="1"/>
  <c r="ED5" i="14"/>
  <c r="ED9" i="14" s="1"/>
  <c r="ED19" i="14" s="1"/>
  <c r="EE5" i="14"/>
  <c r="EE15" i="14" s="1"/>
  <c r="D5" i="14"/>
  <c r="D15" i="14" s="1"/>
  <c r="B9" i="14"/>
  <c r="E16" i="14"/>
  <c r="F16" i="14"/>
  <c r="G16" i="14"/>
  <c r="H16" i="14"/>
  <c r="I16" i="14"/>
  <c r="J16" i="14"/>
  <c r="K16" i="14"/>
  <c r="L16" i="14"/>
  <c r="M16" i="14"/>
  <c r="N16" i="14"/>
  <c r="O16" i="14"/>
  <c r="P16" i="14"/>
  <c r="Q16" i="14"/>
  <c r="R16" i="14"/>
  <c r="S16" i="14"/>
  <c r="T16" i="14"/>
  <c r="U16" i="14"/>
  <c r="V16" i="14"/>
  <c r="W16" i="14"/>
  <c r="X16" i="14"/>
  <c r="Y16" i="14"/>
  <c r="Z16" i="14"/>
  <c r="AA16" i="14"/>
  <c r="AB16" i="14"/>
  <c r="AC16" i="14"/>
  <c r="AD16" i="14"/>
  <c r="AE16" i="14"/>
  <c r="AF16" i="14"/>
  <c r="AG16" i="14"/>
  <c r="AH16" i="14"/>
  <c r="AI16" i="14"/>
  <c r="AJ16" i="14"/>
  <c r="AK16" i="14"/>
  <c r="AL16" i="14"/>
  <c r="AM16" i="14"/>
  <c r="AN16" i="14"/>
  <c r="AO16" i="14"/>
  <c r="AP16" i="14"/>
  <c r="AQ16" i="14"/>
  <c r="AR16" i="14"/>
  <c r="AS16" i="14"/>
  <c r="AT16" i="14"/>
  <c r="AU16" i="14"/>
  <c r="AV16" i="14"/>
  <c r="AW16" i="14"/>
  <c r="AX16" i="14"/>
  <c r="AY16" i="14"/>
  <c r="AZ16" i="14"/>
  <c r="BA16" i="14"/>
  <c r="BB16" i="14"/>
  <c r="BC16" i="14"/>
  <c r="BD16" i="14"/>
  <c r="BE16" i="14"/>
  <c r="BF16" i="14"/>
  <c r="BG16" i="14"/>
  <c r="BH16" i="14"/>
  <c r="BI16" i="14"/>
  <c r="BJ16" i="14"/>
  <c r="BK16" i="14"/>
  <c r="BL16" i="14"/>
  <c r="BM16" i="14"/>
  <c r="BN16" i="14"/>
  <c r="BO16" i="14"/>
  <c r="BP16" i="14"/>
  <c r="BQ16" i="14"/>
  <c r="BR16" i="14"/>
  <c r="BS16" i="14"/>
  <c r="BT16" i="14"/>
  <c r="BU16" i="14"/>
  <c r="BV16" i="14"/>
  <c r="BW16" i="14"/>
  <c r="BX16" i="14"/>
  <c r="BY16" i="14"/>
  <c r="BZ16" i="14"/>
  <c r="CA16" i="14"/>
  <c r="CB16" i="14"/>
  <c r="CC16" i="14"/>
  <c r="CD16" i="14"/>
  <c r="CE16" i="14"/>
  <c r="CF16" i="14"/>
  <c r="CG16" i="14"/>
  <c r="CH16" i="14"/>
  <c r="CI16" i="14"/>
  <c r="CJ16" i="14"/>
  <c r="CK16" i="14"/>
  <c r="CL16" i="14"/>
  <c r="CM16" i="14"/>
  <c r="CN16" i="14"/>
  <c r="CO16" i="14"/>
  <c r="CP16" i="14"/>
  <c r="CQ16" i="14"/>
  <c r="CR16" i="14"/>
  <c r="CS16" i="14"/>
  <c r="CT16" i="14"/>
  <c r="CU16" i="14"/>
  <c r="CV16" i="14"/>
  <c r="CW16" i="14"/>
  <c r="CX16" i="14"/>
  <c r="CY16" i="14"/>
  <c r="CZ16" i="14"/>
  <c r="DA16" i="14"/>
  <c r="DB16" i="14"/>
  <c r="DC16" i="14"/>
  <c r="DD16" i="14"/>
  <c r="DE16" i="14"/>
  <c r="DF16" i="14"/>
  <c r="DG16" i="14"/>
  <c r="DH16" i="14"/>
  <c r="DI16" i="14"/>
  <c r="DJ16" i="14"/>
  <c r="DK16" i="14"/>
  <c r="DL16" i="14"/>
  <c r="DM16" i="14"/>
  <c r="DN16" i="14"/>
  <c r="DO16" i="14"/>
  <c r="DP16" i="14"/>
  <c r="DQ16" i="14"/>
  <c r="DR16" i="14"/>
  <c r="DS16" i="14"/>
  <c r="DT16" i="14"/>
  <c r="DU16" i="14"/>
  <c r="DV16" i="14"/>
  <c r="DW16" i="14"/>
  <c r="DX16" i="14"/>
  <c r="DY16" i="14"/>
  <c r="DZ16" i="14"/>
  <c r="EA16" i="14"/>
  <c r="EB16" i="14"/>
  <c r="EC16" i="14"/>
  <c r="ED16" i="14"/>
  <c r="EE16" i="14"/>
  <c r="E17" i="14"/>
  <c r="F17" i="14"/>
  <c r="G17" i="14"/>
  <c r="H17" i="14"/>
  <c r="I17" i="14"/>
  <c r="J17" i="14"/>
  <c r="K17" i="14"/>
  <c r="L17" i="14"/>
  <c r="M17" i="14"/>
  <c r="N17" i="14"/>
  <c r="O17" i="14"/>
  <c r="P17" i="14"/>
  <c r="Q17" i="14"/>
  <c r="R17" i="14"/>
  <c r="S17" i="14"/>
  <c r="T17" i="14"/>
  <c r="U17" i="14"/>
  <c r="V17" i="14"/>
  <c r="W17" i="14"/>
  <c r="X17" i="14"/>
  <c r="Y17" i="14"/>
  <c r="Z17" i="14"/>
  <c r="AA17" i="14"/>
  <c r="AB17" i="14"/>
  <c r="AC17" i="14"/>
  <c r="AD17" i="14"/>
  <c r="AE17" i="14"/>
  <c r="AF17" i="14"/>
  <c r="AG17" i="14"/>
  <c r="AH17" i="14"/>
  <c r="AI17" i="14"/>
  <c r="AJ17" i="14"/>
  <c r="AK17" i="14"/>
  <c r="AL17" i="14"/>
  <c r="AM17" i="14"/>
  <c r="AN17" i="14"/>
  <c r="AO17" i="14"/>
  <c r="AP17" i="14"/>
  <c r="AQ17" i="14"/>
  <c r="AR17" i="14"/>
  <c r="AS17" i="14"/>
  <c r="AT17" i="14"/>
  <c r="AU17" i="14"/>
  <c r="AV17" i="14"/>
  <c r="AW17" i="14"/>
  <c r="AX17" i="14"/>
  <c r="AY17" i="14"/>
  <c r="AZ17" i="14"/>
  <c r="BA17" i="14"/>
  <c r="BB17" i="14"/>
  <c r="BC17" i="14"/>
  <c r="BD17" i="14"/>
  <c r="BE17" i="14"/>
  <c r="BF17" i="14"/>
  <c r="BG17" i="14"/>
  <c r="BH17" i="14"/>
  <c r="BI17" i="14"/>
  <c r="BJ17" i="14"/>
  <c r="BK17" i="14"/>
  <c r="BL17" i="14"/>
  <c r="BM17" i="14"/>
  <c r="BN17" i="14"/>
  <c r="BO17" i="14"/>
  <c r="BP17" i="14"/>
  <c r="BQ17" i="14"/>
  <c r="BR17" i="14"/>
  <c r="BS17" i="14"/>
  <c r="BT17" i="14"/>
  <c r="BU17" i="14"/>
  <c r="BV17" i="14"/>
  <c r="BW17" i="14"/>
  <c r="BX17" i="14"/>
  <c r="BY17" i="14"/>
  <c r="BZ17" i="14"/>
  <c r="CA17" i="14"/>
  <c r="CB17" i="14"/>
  <c r="CC17" i="14"/>
  <c r="CD17" i="14"/>
  <c r="CE17" i="14"/>
  <c r="CF17" i="14"/>
  <c r="CG17" i="14"/>
  <c r="CH17" i="14"/>
  <c r="CI17" i="14"/>
  <c r="CJ17" i="14"/>
  <c r="CK17" i="14"/>
  <c r="CL17" i="14"/>
  <c r="CM17" i="14"/>
  <c r="CN17" i="14"/>
  <c r="CO17" i="14"/>
  <c r="CP17" i="14"/>
  <c r="CQ17" i="14"/>
  <c r="CR17" i="14"/>
  <c r="CS17" i="14"/>
  <c r="CT17" i="14"/>
  <c r="CU17" i="14"/>
  <c r="CV17" i="14"/>
  <c r="CW17" i="14"/>
  <c r="CX17" i="14"/>
  <c r="CY17" i="14"/>
  <c r="CZ17" i="14"/>
  <c r="DA17" i="14"/>
  <c r="DB17" i="14"/>
  <c r="DC17" i="14"/>
  <c r="DD17" i="14"/>
  <c r="DE17" i="14"/>
  <c r="DF17" i="14"/>
  <c r="DG17" i="14"/>
  <c r="DH17" i="14"/>
  <c r="DI17" i="14"/>
  <c r="DJ17" i="14"/>
  <c r="DK17" i="14"/>
  <c r="DL17" i="14"/>
  <c r="DM17" i="14"/>
  <c r="DN17" i="14"/>
  <c r="DO17" i="14"/>
  <c r="DP17" i="14"/>
  <c r="DQ17" i="14"/>
  <c r="DR17" i="14"/>
  <c r="DS17" i="14"/>
  <c r="DT17" i="14"/>
  <c r="DU17" i="14"/>
  <c r="DV17" i="14"/>
  <c r="DW17" i="14"/>
  <c r="DX17" i="14"/>
  <c r="DY17" i="14"/>
  <c r="DZ17" i="14"/>
  <c r="EA17" i="14"/>
  <c r="EB17" i="14"/>
  <c r="EC17" i="14"/>
  <c r="ED17" i="14"/>
  <c r="EE17" i="14"/>
  <c r="E18" i="14"/>
  <c r="F18" i="14"/>
  <c r="G18" i="14"/>
  <c r="H18" i="14"/>
  <c r="I18" i="14"/>
  <c r="J18" i="14"/>
  <c r="K18" i="14"/>
  <c r="L18" i="14"/>
  <c r="M18" i="14"/>
  <c r="N18" i="14"/>
  <c r="O18" i="14"/>
  <c r="P18" i="14"/>
  <c r="Q18" i="14"/>
  <c r="R18" i="14"/>
  <c r="S18" i="14"/>
  <c r="T18" i="14"/>
  <c r="U18" i="14"/>
  <c r="V18" i="14"/>
  <c r="W18" i="14"/>
  <c r="X18" i="14"/>
  <c r="Y18" i="14"/>
  <c r="Z18" i="14"/>
  <c r="AA18" i="14"/>
  <c r="AB18" i="14"/>
  <c r="AC18" i="14"/>
  <c r="AD18" i="14"/>
  <c r="AE18" i="14"/>
  <c r="AF18" i="14"/>
  <c r="AG18" i="14"/>
  <c r="AH18" i="14"/>
  <c r="AI18" i="14"/>
  <c r="AJ18" i="14"/>
  <c r="AK18" i="14"/>
  <c r="AL18" i="14"/>
  <c r="AM18" i="14"/>
  <c r="AN18" i="14"/>
  <c r="AO18" i="14"/>
  <c r="AP18" i="14"/>
  <c r="AQ18" i="14"/>
  <c r="AR18" i="14"/>
  <c r="AS18" i="14"/>
  <c r="AT18" i="14"/>
  <c r="AU18" i="14"/>
  <c r="AV18" i="14"/>
  <c r="AW18" i="14"/>
  <c r="AX18" i="14"/>
  <c r="AY18" i="14"/>
  <c r="AZ18" i="14"/>
  <c r="BA18" i="14"/>
  <c r="BB18" i="14"/>
  <c r="BC18" i="14"/>
  <c r="BD18" i="14"/>
  <c r="BE18" i="14"/>
  <c r="BF18" i="14"/>
  <c r="BG18" i="14"/>
  <c r="BH18" i="14"/>
  <c r="BI18" i="14"/>
  <c r="BJ18" i="14"/>
  <c r="BK18" i="14"/>
  <c r="BL18" i="14"/>
  <c r="BM18" i="14"/>
  <c r="BN18" i="14"/>
  <c r="BO18" i="14"/>
  <c r="BP18" i="14"/>
  <c r="BQ18" i="14"/>
  <c r="BR18" i="14"/>
  <c r="BS18" i="14"/>
  <c r="BT18" i="14"/>
  <c r="BU18" i="14"/>
  <c r="BV18" i="14"/>
  <c r="BW18" i="14"/>
  <c r="BX18" i="14"/>
  <c r="BY18" i="14"/>
  <c r="BZ18" i="14"/>
  <c r="CA18" i="14"/>
  <c r="CB18" i="14"/>
  <c r="CC18" i="14"/>
  <c r="CD18" i="14"/>
  <c r="CE18" i="14"/>
  <c r="CF18" i="14"/>
  <c r="CG18" i="14"/>
  <c r="CH18" i="14"/>
  <c r="CI18" i="14"/>
  <c r="CJ18" i="14"/>
  <c r="CK18" i="14"/>
  <c r="CL18" i="14"/>
  <c r="CM18" i="14"/>
  <c r="CN18" i="14"/>
  <c r="CO18" i="14"/>
  <c r="CP18" i="14"/>
  <c r="CQ18" i="14"/>
  <c r="CR18" i="14"/>
  <c r="CS18" i="14"/>
  <c r="CT18" i="14"/>
  <c r="CU18" i="14"/>
  <c r="CV18" i="14"/>
  <c r="CW18" i="14"/>
  <c r="CX18" i="14"/>
  <c r="CY18" i="14"/>
  <c r="CZ18" i="14"/>
  <c r="DA18" i="14"/>
  <c r="DB18" i="14"/>
  <c r="DC18" i="14"/>
  <c r="DD18" i="14"/>
  <c r="DE18" i="14"/>
  <c r="DF18" i="14"/>
  <c r="DG18" i="14"/>
  <c r="DH18" i="14"/>
  <c r="DI18" i="14"/>
  <c r="DJ18" i="14"/>
  <c r="DK18" i="14"/>
  <c r="DL18" i="14"/>
  <c r="DM18" i="14"/>
  <c r="DN18" i="14"/>
  <c r="DO18" i="14"/>
  <c r="DP18" i="14"/>
  <c r="DQ18" i="14"/>
  <c r="DR18" i="14"/>
  <c r="DS18" i="14"/>
  <c r="DT18" i="14"/>
  <c r="DU18" i="14"/>
  <c r="DV18" i="14"/>
  <c r="DW18" i="14"/>
  <c r="DX18" i="14"/>
  <c r="DY18" i="14"/>
  <c r="DZ18" i="14"/>
  <c r="EA18" i="14"/>
  <c r="EB18" i="14"/>
  <c r="EC18" i="14"/>
  <c r="ED18" i="14"/>
  <c r="EE18" i="14"/>
  <c r="D18" i="14"/>
  <c r="D17" i="14"/>
  <c r="D16" i="14"/>
  <c r="G4" i="1" l="1"/>
  <c r="J2" i="17" s="1"/>
  <c r="F4" i="1"/>
  <c r="I2" i="17" s="1"/>
  <c r="D4" i="1"/>
  <c r="G2" i="17" s="1"/>
  <c r="E4" i="1"/>
  <c r="H2" i="17" s="1"/>
  <c r="CG9" i="14"/>
  <c r="CG19" i="14" s="1"/>
  <c r="F15" i="16"/>
  <c r="G15" i="16"/>
  <c r="BM15" i="14"/>
  <c r="DA15" i="14"/>
  <c r="DX15" i="14"/>
  <c r="BP15" i="14"/>
  <c r="BG9" i="14"/>
  <c r="BG19" i="14" s="1"/>
  <c r="DL9" i="14"/>
  <c r="DL19" i="14" s="1"/>
  <c r="DK9" i="14"/>
  <c r="DK19" i="14" s="1"/>
  <c r="AL9" i="14"/>
  <c r="AL19" i="14" s="1"/>
  <c r="DN15" i="14"/>
  <c r="BF15" i="14"/>
  <c r="AV9" i="14"/>
  <c r="AV19" i="14" s="1"/>
  <c r="AW15" i="14"/>
  <c r="CU9" i="14"/>
  <c r="CU19" i="14" s="1"/>
  <c r="DO15" i="14"/>
  <c r="CK9" i="14"/>
  <c r="CK19" i="14" s="1"/>
  <c r="DE15" i="14"/>
  <c r="BQ9" i="14"/>
  <c r="BQ19" i="14" s="1"/>
  <c r="CJ9" i="14"/>
  <c r="CJ19" i="14" s="1"/>
  <c r="AM15" i="14"/>
  <c r="CT15" i="14"/>
  <c r="AC15" i="14"/>
  <c r="AS9" i="14"/>
  <c r="AS19" i="14" s="1"/>
  <c r="BZ15" i="14"/>
  <c r="AB15" i="14"/>
  <c r="DY15" i="14"/>
  <c r="R15" i="14"/>
  <c r="DI15" i="14"/>
  <c r="DD15" i="14"/>
  <c r="CM9" i="14"/>
  <c r="CM19" i="14" s="1"/>
  <c r="CL9" i="14"/>
  <c r="CL19" i="14" s="1"/>
  <c r="H9" i="16"/>
  <c r="H19" i="16" s="1"/>
  <c r="N9" i="16"/>
  <c r="N19" i="16" s="1"/>
  <c r="J9" i="16"/>
  <c r="J19" i="16" s="1"/>
  <c r="D15" i="16"/>
  <c r="N15" i="16"/>
  <c r="I9" i="16"/>
  <c r="I19" i="16" s="1"/>
  <c r="E15" i="16"/>
  <c r="K9" i="16"/>
  <c r="K19" i="16" s="1"/>
  <c r="L9" i="16"/>
  <c r="L19" i="16" s="1"/>
  <c r="M9" i="16"/>
  <c r="M19" i="16" s="1"/>
  <c r="CY15" i="14"/>
  <c r="AR9" i="14"/>
  <c r="AR19" i="14" s="1"/>
  <c r="AQ9" i="14"/>
  <c r="AQ19" i="14" s="1"/>
  <c r="DJ9" i="14"/>
  <c r="DJ19" i="14" s="1"/>
  <c r="CE15" i="14"/>
  <c r="CA9" i="14"/>
  <c r="CA19" i="14" s="1"/>
  <c r="I15" i="14"/>
  <c r="AK9" i="14"/>
  <c r="AK19" i="14" s="1"/>
  <c r="Q15" i="14"/>
  <c r="P9" i="14"/>
  <c r="P19" i="14" s="1"/>
  <c r="O9" i="14"/>
  <c r="O19" i="14" s="1"/>
  <c r="ED15" i="14"/>
  <c r="CR15" i="14"/>
  <c r="BD15" i="14"/>
  <c r="BY9" i="14"/>
  <c r="BY19" i="14" s="1"/>
  <c r="EC15" i="14"/>
  <c r="BX9" i="14"/>
  <c r="BX19" i="14" s="1"/>
  <c r="CP15" i="14"/>
  <c r="BB15" i="14"/>
  <c r="CO15" i="14"/>
  <c r="BA15" i="14"/>
  <c r="AG15" i="14"/>
  <c r="DM9" i="14"/>
  <c r="DM19" i="14" s="1"/>
  <c r="AO9" i="14"/>
  <c r="AO19" i="14" s="1"/>
  <c r="DW9" i="14"/>
  <c r="DW19" i="14" s="1"/>
  <c r="AJ9" i="14"/>
  <c r="AJ19" i="14" s="1"/>
  <c r="BE15" i="14"/>
  <c r="DV9" i="14"/>
  <c r="DV19" i="14" s="1"/>
  <c r="AI9" i="14"/>
  <c r="AI19" i="14" s="1"/>
  <c r="DU9" i="14"/>
  <c r="DU19" i="14" s="1"/>
  <c r="BC9" i="14"/>
  <c r="BC19" i="14" s="1"/>
  <c r="E9" i="14"/>
  <c r="E19" i="14" s="1"/>
  <c r="CQ15" i="14"/>
  <c r="BO15" i="14"/>
  <c r="AH15" i="14"/>
  <c r="F15" i="14"/>
  <c r="BW9" i="14"/>
  <c r="BW19" i="14" s="1"/>
  <c r="AA9" i="14"/>
  <c r="AA19" i="14" s="1"/>
  <c r="DC15" i="14"/>
  <c r="BN15" i="14"/>
  <c r="Z9" i="14"/>
  <c r="Z19" i="14" s="1"/>
  <c r="DB15" i="14"/>
  <c r="AN9" i="14"/>
  <c r="AN19" i="14" s="1"/>
  <c r="Y9" i="14"/>
  <c r="Y19" i="14" s="1"/>
  <c r="BL15" i="14"/>
  <c r="EE9" i="14"/>
  <c r="EE19" i="14" s="1"/>
  <c r="CI9" i="14"/>
  <c r="CI19" i="14" s="1"/>
  <c r="S9" i="14"/>
  <c r="S19" i="14" s="1"/>
  <c r="CZ15" i="14"/>
  <c r="CF15" i="14"/>
  <c r="BK15" i="14"/>
  <c r="AT15" i="14"/>
  <c r="CH9" i="14"/>
  <c r="CH19" i="14" s="1"/>
  <c r="H9" i="14"/>
  <c r="H19" i="14" s="1"/>
  <c r="M15" i="14"/>
  <c r="N15" i="14"/>
  <c r="D9" i="14"/>
  <c r="D19" i="14" s="1"/>
  <c r="G15" i="14"/>
  <c r="DR15" i="14"/>
  <c r="BT15" i="14"/>
  <c r="V15" i="14"/>
  <c r="CX9" i="14"/>
  <c r="CX19" i="14" s="1"/>
  <c r="AZ9" i="14"/>
  <c r="AZ19" i="14" s="1"/>
  <c r="EB15" i="14"/>
  <c r="CD15" i="14"/>
  <c r="AF15" i="14"/>
  <c r="CW9" i="14"/>
  <c r="CW19" i="14" s="1"/>
  <c r="AY9" i="14"/>
  <c r="AY19" i="14" s="1"/>
  <c r="DH9" i="14"/>
  <c r="DH19" i="14" s="1"/>
  <c r="CV9" i="14"/>
  <c r="CV19" i="14" s="1"/>
  <c r="BJ9" i="14"/>
  <c r="BJ19" i="14" s="1"/>
  <c r="AX9" i="14"/>
  <c r="AX19" i="14" s="1"/>
  <c r="L9" i="14"/>
  <c r="L19" i="14" s="1"/>
  <c r="CN15" i="14"/>
  <c r="AP15" i="14"/>
  <c r="DG9" i="14"/>
  <c r="DG19" i="14" s="1"/>
  <c r="BI9" i="14"/>
  <c r="BI19" i="14" s="1"/>
  <c r="K9" i="14"/>
  <c r="K19" i="14" s="1"/>
  <c r="DF9" i="14"/>
  <c r="DF19" i="14" s="1"/>
  <c r="BH9" i="14"/>
  <c r="BH19" i="14" s="1"/>
  <c r="J9" i="14"/>
  <c r="J19" i="14" s="1"/>
  <c r="DQ9" i="14"/>
  <c r="DQ19" i="14" s="1"/>
  <c r="CS9" i="14"/>
  <c r="CS19" i="14" s="1"/>
  <c r="BS9" i="14"/>
  <c r="BS19" i="14" s="1"/>
  <c r="AU9" i="14"/>
  <c r="AU19" i="14" s="1"/>
  <c r="U9" i="14"/>
  <c r="U19" i="14" s="1"/>
  <c r="DP9" i="14"/>
  <c r="DP19" i="14" s="1"/>
  <c r="BR9" i="14"/>
  <c r="BR19" i="14" s="1"/>
  <c r="T9" i="14"/>
  <c r="T19" i="14" s="1"/>
  <c r="DT15" i="14"/>
  <c r="BV15" i="14"/>
  <c r="X15" i="14"/>
  <c r="EA9" i="14"/>
  <c r="EA19" i="14" s="1"/>
  <c r="CC9" i="14"/>
  <c r="CC19" i="14" s="1"/>
  <c r="AE9" i="14"/>
  <c r="AE19" i="14" s="1"/>
  <c r="DS15" i="14"/>
  <c r="BU15" i="14"/>
  <c r="W15" i="14"/>
  <c r="DZ9" i="14"/>
  <c r="DZ19" i="14" s="1"/>
  <c r="CB9" i="14"/>
  <c r="CB19" i="14" s="1"/>
  <c r="AD9" i="14"/>
  <c r="AD19" i="14" s="1"/>
  <c r="H4" i="17" l="1"/>
  <c r="E15" i="1" s="1" a="1"/>
  <c r="E15" i="1" s="1"/>
  <c r="K4" i="1"/>
  <c r="N2" i="17" s="1"/>
  <c r="I4" i="1"/>
  <c r="L2" i="17" s="1"/>
  <c r="J4" i="1"/>
  <c r="M2" i="17" s="1"/>
  <c r="H4" i="1"/>
  <c r="K2" i="17" s="1"/>
  <c r="M4" i="1"/>
  <c r="P2" i="17" s="1"/>
  <c r="N4" i="1"/>
  <c r="Q2" i="4" s="1"/>
  <c r="L4" i="1"/>
  <c r="O2" i="17" s="1"/>
  <c r="I4" i="17"/>
  <c r="BV20" i="14"/>
  <c r="EA20" i="14"/>
  <c r="AE20" i="14"/>
  <c r="BU20" i="14"/>
  <c r="CR20" i="14"/>
  <c r="BO20" i="14"/>
  <c r="BW20" i="14"/>
  <c r="BN20" i="14"/>
  <c r="BS20" i="14"/>
  <c r="DX20" i="14"/>
  <c r="CN20" i="14"/>
  <c r="CQ20" i="14"/>
  <c r="AU20" i="14"/>
  <c r="AR20" i="14"/>
  <c r="AV20" i="14"/>
  <c r="AO20" i="14"/>
  <c r="AW20" i="14"/>
  <c r="AX20" i="14"/>
  <c r="AY20" i="14"/>
  <c r="AP20" i="14"/>
  <c r="AQ20" i="14"/>
  <c r="AS20" i="14"/>
  <c r="AT20" i="14"/>
  <c r="AN20" i="14"/>
  <c r="AG20" i="14"/>
  <c r="AK20" i="14"/>
  <c r="AC20" i="14"/>
  <c r="AL20" i="14"/>
  <c r="AM20" i="14"/>
  <c r="AJ20" i="14"/>
  <c r="AB20" i="14"/>
  <c r="AF20" i="14"/>
  <c r="AD20" i="14"/>
  <c r="BI20" i="14"/>
  <c r="BD20" i="14"/>
  <c r="BJ20" i="14"/>
  <c r="BF20" i="14"/>
  <c r="BA20" i="14"/>
  <c r="BK20" i="14"/>
  <c r="BB20" i="14"/>
  <c r="AZ20" i="14"/>
  <c r="BC20" i="14"/>
  <c r="BG20" i="14"/>
  <c r="BH20" i="14"/>
  <c r="BE20" i="14"/>
  <c r="DZ20" i="14"/>
  <c r="DY20" i="14"/>
  <c r="S20" i="14"/>
  <c r="X20" i="14"/>
  <c r="Z20" i="14"/>
  <c r="T20" i="14"/>
  <c r="U20" i="14"/>
  <c r="V20" i="14"/>
  <c r="Q20" i="14"/>
  <c r="AA20" i="14"/>
  <c r="R20" i="14"/>
  <c r="P20" i="14"/>
  <c r="W20" i="14"/>
  <c r="Y20" i="14"/>
  <c r="AI20" i="14"/>
  <c r="DW20" i="14"/>
  <c r="DT20" i="14"/>
  <c r="BR20" i="14"/>
  <c r="BM20" i="14"/>
  <c r="CA20" i="14"/>
  <c r="CF20" i="14"/>
  <c r="CG20" i="14"/>
  <c r="CH20" i="14"/>
  <c r="CB20" i="14"/>
  <c r="CC20" i="14"/>
  <c r="CD20" i="14"/>
  <c r="CE20" i="14"/>
  <c r="BY20" i="14"/>
  <c r="CI20" i="14"/>
  <c r="BZ20" i="14"/>
  <c r="BX20" i="14"/>
  <c r="BQ20" i="14"/>
  <c r="EE20" i="14"/>
  <c r="BL20" i="14"/>
  <c r="BT20" i="14"/>
  <c r="EB20" i="14"/>
  <c r="DC20" i="14"/>
  <c r="DG20" i="14"/>
  <c r="CY20" i="14"/>
  <c r="DD20" i="14"/>
  <c r="DF20" i="14"/>
  <c r="DE20" i="14"/>
  <c r="CW20" i="14"/>
  <c r="CX20" i="14"/>
  <c r="CZ20" i="14"/>
  <c r="DA20" i="14"/>
  <c r="DB20" i="14"/>
  <c r="CV20" i="14"/>
  <c r="DQ20" i="14"/>
  <c r="DL20" i="14"/>
  <c r="DN20" i="14"/>
  <c r="DR20" i="14"/>
  <c r="DK20" i="14"/>
  <c r="DM20" i="14"/>
  <c r="DI20" i="14"/>
  <c r="DS20" i="14"/>
  <c r="DJ20" i="14"/>
  <c r="DH20" i="14"/>
  <c r="DO20" i="14"/>
  <c r="DP20" i="14"/>
  <c r="CT20" i="14"/>
  <c r="CJ20" i="14"/>
  <c r="CS20" i="14"/>
  <c r="CK20" i="14"/>
  <c r="CU20" i="14"/>
  <c r="CL20" i="14"/>
  <c r="CO20" i="14"/>
  <c r="BP20" i="14"/>
  <c r="DV20" i="14"/>
  <c r="E20" i="14"/>
  <c r="O20" i="14"/>
  <c r="F20" i="14"/>
  <c r="D20" i="14"/>
  <c r="I20" i="14"/>
  <c r="L20" i="14"/>
  <c r="G20" i="14"/>
  <c r="H20" i="14"/>
  <c r="J20" i="14"/>
  <c r="K20" i="14"/>
  <c r="M20" i="14"/>
  <c r="N20" i="14"/>
  <c r="CP20" i="14"/>
  <c r="ED20" i="14"/>
  <c r="EC20" i="14"/>
  <c r="DU20" i="14"/>
  <c r="CM20" i="14"/>
  <c r="AH20" i="14"/>
  <c r="Q2" i="17" l="1"/>
  <c r="F15" i="1" a="1"/>
  <c r="F15" i="1" s="1"/>
  <c r="J4" i="17"/>
  <c r="C15" i="13"/>
  <c r="E15" i="13"/>
  <c r="G15" i="13"/>
  <c r="I15" i="13"/>
  <c r="K15" i="13"/>
  <c r="M15" i="13"/>
  <c r="O15" i="13"/>
  <c r="Q15" i="13"/>
  <c r="S15" i="13"/>
  <c r="U15" i="13"/>
  <c r="W15" i="13"/>
  <c r="Y15" i="13"/>
  <c r="C27" i="13"/>
  <c r="E27" i="13"/>
  <c r="G27" i="13"/>
  <c r="I27" i="13"/>
  <c r="Z27" i="13" s="1"/>
  <c r="K27" i="13"/>
  <c r="M27" i="13"/>
  <c r="O27" i="13"/>
  <c r="Q27" i="13"/>
  <c r="S27" i="13"/>
  <c r="U27" i="13"/>
  <c r="W27" i="13"/>
  <c r="Y27" i="13"/>
  <c r="G15" i="1" l="1" a="1"/>
  <c r="G15" i="1" s="1"/>
  <c r="K4" i="17"/>
  <c r="Z15" i="13"/>
  <c r="Z31" i="13" s="1"/>
  <c r="Z32" i="13" s="1"/>
  <c r="AA32" i="13" s="1"/>
  <c r="H15" i="1" l="1" a="1"/>
  <c r="H15" i="1" s="1"/>
  <c r="L4" i="17"/>
  <c r="E19" i="1"/>
  <c r="F19" i="1"/>
  <c r="G19" i="1"/>
  <c r="H19" i="1"/>
  <c r="I19" i="1"/>
  <c r="J19" i="1"/>
  <c r="K19" i="1"/>
  <c r="L19" i="1"/>
  <c r="M19" i="1"/>
  <c r="N19" i="1"/>
  <c r="D19" i="1"/>
  <c r="M4" i="17" l="1"/>
  <c r="I15" i="1" a="1"/>
  <c r="I15" i="1" s="1"/>
  <c r="C4" i="6"/>
  <c r="C9" i="6"/>
  <c r="D4" i="6" s="1"/>
  <c r="C16" i="6"/>
  <c r="C12" i="6"/>
  <c r="N4" i="17" l="1"/>
  <c r="J15" i="1" a="1"/>
  <c r="J15" i="1" s="1"/>
  <c r="E4" i="6"/>
  <c r="O4" i="17" l="1"/>
  <c r="K15" i="1" a="1"/>
  <c r="K15" i="1" s="1"/>
  <c r="H9" i="10"/>
  <c r="I9" i="10" s="1"/>
  <c r="F9" i="10"/>
  <c r="I4" i="10"/>
  <c r="F4" i="10"/>
  <c r="D4" i="9"/>
  <c r="E4" i="9" s="1"/>
  <c r="P4" i="17" l="1"/>
  <c r="L15" i="1" a="1"/>
  <c r="L15" i="1" s="1"/>
  <c r="J4" i="10"/>
  <c r="G18" i="1" s="1"/>
  <c r="F18" i="1"/>
  <c r="J9" i="10"/>
  <c r="Q4" i="17" l="1"/>
  <c r="N15" i="1" s="1" a="1"/>
  <c r="N15" i="1" s="1"/>
  <c r="M15" i="1" a="1"/>
  <c r="M15" i="1" s="1"/>
  <c r="K4" i="10"/>
  <c r="H18" i="1" s="1"/>
  <c r="K9" i="10"/>
  <c r="L9" i="10"/>
  <c r="L4" i="10" l="1"/>
  <c r="I18" i="1" s="1"/>
  <c r="M9" i="10"/>
  <c r="M4" i="10"/>
  <c r="J18" i="1" s="1"/>
  <c r="N9" i="10" l="1"/>
  <c r="N4" i="10"/>
  <c r="K18" i="1" s="1"/>
  <c r="O9" i="10" l="1"/>
  <c r="O4" i="10"/>
  <c r="F10" i="3"/>
  <c r="C13" i="6"/>
  <c r="F4" i="6" s="1"/>
  <c r="C17" i="6"/>
  <c r="I4" i="6" s="1"/>
  <c r="F2" i="4"/>
  <c r="P2" i="4"/>
  <c r="O2" i="4"/>
  <c r="N2" i="4"/>
  <c r="M2" i="4"/>
  <c r="L2" i="4"/>
  <c r="K2" i="4"/>
  <c r="J2" i="4"/>
  <c r="I2" i="4"/>
  <c r="H2" i="4"/>
  <c r="G2" i="4"/>
  <c r="F8" i="4"/>
  <c r="C17" i="1" s="1"/>
  <c r="C24" i="1" s="1"/>
  <c r="C25" i="1" s="1"/>
  <c r="G8" i="4"/>
  <c r="D17" i="1" s="1"/>
  <c r="G10" i="3"/>
  <c r="H10" i="3"/>
  <c r="H12" i="3" s="1"/>
  <c r="I10" i="3"/>
  <c r="J10" i="3"/>
  <c r="H11" i="4" l="1"/>
  <c r="I11" i="4" s="1"/>
  <c r="E17" i="1" s="1"/>
  <c r="L18" i="1"/>
  <c r="N18" i="1"/>
  <c r="I12" i="3"/>
  <c r="G12" i="3"/>
  <c r="K10" i="3"/>
  <c r="L10" i="3" s="1"/>
  <c r="M10" i="3" s="1"/>
  <c r="J12" i="3"/>
  <c r="N10" i="3"/>
  <c r="P9" i="10"/>
  <c r="P4" i="10"/>
  <c r="M18" i="1" s="1"/>
  <c r="J4" i="6"/>
  <c r="N4" i="6"/>
  <c r="M4" i="6"/>
  <c r="L4" i="6"/>
  <c r="K4" i="6"/>
  <c r="P4" i="6"/>
  <c r="G4" i="6"/>
  <c r="O4" i="6"/>
  <c r="H4" i="6"/>
  <c r="O10" i="3" l="1"/>
  <c r="G5" i="6"/>
  <c r="F17" i="1"/>
  <c r="P10" i="3" l="1"/>
  <c r="G17" i="1"/>
  <c r="H17" i="1" l="1"/>
  <c r="I17" i="1" l="1"/>
  <c r="J17" i="1" l="1"/>
  <c r="K17" i="1" l="1"/>
  <c r="L17" i="1" l="1"/>
  <c r="G4" i="9" l="1"/>
  <c r="D22" i="1" s="1"/>
  <c r="M17" i="1" l="1"/>
  <c r="N17" i="1"/>
  <c r="H4" i="9"/>
  <c r="E22" i="1" s="1"/>
  <c r="E24" i="1" s="1"/>
  <c r="D24" i="1" l="1"/>
  <c r="D25" i="1" s="1"/>
  <c r="I4" i="9"/>
  <c r="F22" i="1" s="1"/>
  <c r="E25" i="1" l="1"/>
  <c r="J4" i="9"/>
  <c r="G22" i="1" s="1"/>
  <c r="F24" i="1" l="1"/>
  <c r="F25" i="1" s="1"/>
  <c r="K4" i="9"/>
  <c r="H22" i="1" s="1"/>
  <c r="G24" i="1" l="1"/>
  <c r="G25" i="1" s="1"/>
  <c r="L4" i="9"/>
  <c r="I22" i="1" s="1"/>
  <c r="H24" i="1" l="1"/>
  <c r="H25" i="1" s="1"/>
  <c r="M4" i="9"/>
  <c r="J22" i="1" s="1"/>
  <c r="I24" i="1"/>
  <c r="I25" i="1" s="1"/>
  <c r="N4" i="9" l="1"/>
  <c r="K22" i="1" s="1"/>
  <c r="J24" i="1" l="1"/>
  <c r="J25" i="1" s="1"/>
  <c r="O4" i="9"/>
  <c r="L22" i="1" s="1"/>
  <c r="K24" i="1"/>
  <c r="K25" i="1" s="1"/>
  <c r="P4" i="9" l="1"/>
  <c r="L24" i="1"/>
  <c r="L25" i="1" s="1"/>
  <c r="M22" i="1" l="1"/>
  <c r="Q4" i="9"/>
  <c r="N22" i="1" s="1"/>
  <c r="N24" i="1" s="1"/>
  <c r="N25" i="1" s="1"/>
  <c r="M24" i="1" l="1"/>
  <c r="M2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<sst xmlns="http://schemas.openxmlformats.org/spreadsheetml/2006/main" count="363" uniqueCount="121">
  <si>
    <t>Ampera</t>
  </si>
  <si>
    <t>KM</t>
  </si>
  <si>
    <t>Listrik</t>
  </si>
  <si>
    <t>IT</t>
  </si>
  <si>
    <t>Parkir</t>
  </si>
  <si>
    <t>SH</t>
  </si>
  <si>
    <t>Jenggala</t>
  </si>
  <si>
    <t>Office TE</t>
  </si>
  <si>
    <t>Retail TE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</si>
  <si>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</si>
  <si>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</si>
  <si>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</si>
  <si>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</si>
  <si>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</si>
  <si>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</si>
  <si>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</si>
  <si>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</si>
  <si>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</si>
  <si>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</si>
  <si>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Products</t>
  </si>
  <si>
    <t>Total</t>
  </si>
  <si>
    <t>Kyai Maja</t>
  </si>
  <si>
    <t>Perbandingan Tagihan PLN &amp; Tenant (2019)</t>
  </si>
  <si>
    <t>Description</t>
  </si>
  <si>
    <t>Januari</t>
  </si>
  <si>
    <t>Februari</t>
  </si>
  <si>
    <t>Maret</t>
  </si>
  <si>
    <t xml:space="preserve">April </t>
  </si>
  <si>
    <t>Mei</t>
  </si>
  <si>
    <t>Juni</t>
  </si>
  <si>
    <t>Juli</t>
  </si>
  <si>
    <t>Agustus</t>
  </si>
  <si>
    <t>September</t>
  </si>
  <si>
    <t>Oktober</t>
  </si>
  <si>
    <t>November</t>
  </si>
  <si>
    <t>Desember</t>
  </si>
  <si>
    <t>Rp</t>
  </si>
  <si>
    <t xml:space="preserve">Invoice PLN </t>
  </si>
  <si>
    <t>Tagihan ke Tenant</t>
  </si>
  <si>
    <t>Selisih</t>
  </si>
  <si>
    <t>Deviasi</t>
  </si>
  <si>
    <t>Perbandingan Tagihan PLN &amp; Tenant (2020)</t>
  </si>
  <si>
    <t>Perbandingan Tagihan PLN &amp; Tenant (2021)</t>
  </si>
  <si>
    <t>Perbandingan Tagihan PLN &amp; Tenant (2022)</t>
  </si>
  <si>
    <t>DC</t>
  </si>
  <si>
    <t>2022</t>
  </si>
  <si>
    <t>Produk</t>
  </si>
  <si>
    <t>Rev Share</t>
  </si>
  <si>
    <t>Sewa Shaft</t>
  </si>
  <si>
    <t>IP PBX</t>
  </si>
  <si>
    <t>E1</t>
  </si>
  <si>
    <t>Casual Mobil</t>
  </si>
  <si>
    <t>Casual Motor</t>
  </si>
  <si>
    <t>Langganan Mobil (Non Medco Grup)</t>
  </si>
  <si>
    <t>Langganan Motor (Non Medco Group</t>
  </si>
  <si>
    <t xml:space="preserve">Occupancy → </t>
  </si>
  <si>
    <t>Listrik Tagihan Tenant</t>
  </si>
  <si>
    <t>2019</t>
  </si>
  <si>
    <t>2020</t>
  </si>
  <si>
    <t>2021</t>
  </si>
  <si>
    <t xml:space="preserve">Yearly = </t>
  </si>
  <si>
    <t>Starting 2023</t>
  </si>
  <si>
    <t>Yearly =</t>
  </si>
  <si>
    <t>Property</t>
  </si>
  <si>
    <t>date</t>
  </si>
  <si>
    <t>Rental</t>
  </si>
  <si>
    <t>SC</t>
  </si>
  <si>
    <t>Occ</t>
  </si>
  <si>
    <t>OccPct</t>
  </si>
  <si>
    <t>2.35%</t>
  </si>
  <si>
    <t>1%</t>
  </si>
  <si>
    <t xml:space="preserve"> IT Projection ←</t>
  </si>
  <si>
    <t>→ Simple projection</t>
  </si>
  <si>
    <t xml:space="preserve">  Actual/Outlook ←</t>
  </si>
  <si>
    <t>→ Simple projection based on occupancy</t>
  </si>
  <si>
    <t>Yearly Increase</t>
  </si>
  <si>
    <t>Increase</t>
  </si>
  <si>
    <t>Avg Monthly =</t>
  </si>
  <si>
    <t xml:space="preserve">Avg Monthly = </t>
  </si>
  <si>
    <t>Parking Dept Data ←</t>
  </si>
  <si>
    <t>OUT</t>
  </si>
  <si>
    <t>Dago Condotel</t>
  </si>
  <si>
    <t>SC Medco (per tahun)</t>
  </si>
  <si>
    <t>Before 2022</t>
  </si>
  <si>
    <t>IN</t>
  </si>
  <si>
    <t>MEPI</t>
  </si>
  <si>
    <t>AMNT</t>
  </si>
  <si>
    <t>Corridor</t>
  </si>
  <si>
    <t>Progresys</t>
  </si>
  <si>
    <t>IWG</t>
  </si>
  <si>
    <t>USAID</t>
  </si>
  <si>
    <t>MindID</t>
  </si>
  <si>
    <t>LINE (D)</t>
  </si>
  <si>
    <t>E=Expand</t>
  </si>
  <si>
    <t>D=Downsoze</t>
  </si>
  <si>
    <t>Zico</t>
  </si>
  <si>
    <t>AstraNawa</t>
  </si>
  <si>
    <t>AON</t>
  </si>
  <si>
    <t>Simenggaris</t>
  </si>
  <si>
    <t>End</t>
  </si>
  <si>
    <t>𝚫</t>
  </si>
  <si>
    <t>Brulle</t>
  </si>
  <si>
    <t xml:space="preserve">Start = </t>
  </si>
  <si>
    <t>Leasable =</t>
  </si>
  <si>
    <t>Storage</t>
  </si>
  <si>
    <t>Retail</t>
  </si>
  <si>
    <t>Facilities</t>
  </si>
  <si>
    <t>Max</t>
  </si>
  <si>
    <t>Office</t>
  </si>
  <si>
    <t>Area leased (m2)</t>
  </si>
  <si>
    <t>Area leased (%)</t>
  </si>
  <si>
    <t>2033</t>
  </si>
  <si>
    <t>The Energy</t>
  </si>
  <si>
    <t>Exchange Rate</t>
  </si>
  <si>
    <t>Total (IDR)</t>
  </si>
  <si>
    <t>Total (USD)</t>
  </si>
  <si>
    <t>Column2</t>
  </si>
  <si>
    <t>Inc1</t>
  </si>
  <si>
    <t>Inc2</t>
  </si>
  <si>
    <t>Average Occupancy</t>
  </si>
  <si>
    <t>Revenues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</si>
</sst>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_-[$Rp-421]* #,##0_ ;_-[$Rp-421]* \-#,##0\ ;_-[$Rp-421]* &quot;-&quot;_ ;_-@_ "/>
    <numFmt numFmtId="166" formatCode="_-* #,##0.00_-;\-* #,##0.00_-;_-* &quot;-&quot;??_-;_-@_-"/>
    <numFmt numFmtId="167" formatCode="0,00#"/>
    <numFmt numFmtId="168" formatCode="yyyy"/>
    <numFmt numFmtId="169" formatCode="mm/yyyy"/>
    <numFmt numFmtId="170" formatCode="0.0%"/>
    <numFmt numFmtId="171" formatCode="mm\-yyyy"/>
  </numFmts>
  <fonts count="2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6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charset val="1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8"/>
      <name val="Calibri"/>
      <family val="2"/>
      <scheme val="minor"/>
    </font>
    <font>
      <sz val="12"/>
      <color theme="1"/>
      <name val="Helvetica"/>
      <family val="2"/>
    </font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9"/>
      <color theme="1"/>
      <name val="Arial"/>
      <family val="2"/>
    </font>
    <font>
      <b/>
      <sz val="12"/>
      <color theme="1"/>
      <name val="Arial"/>
      <family val="2"/>
    </font>
    <font>
      <sz val="18"/>
      <color theme="1"/>
      <name val="Arial"/>
      <family val="2"/>
    </font>
    <font>
      <sz val="11"/>
      <color theme="1"/>
      <name val="Arial"/>
      <family val="2"/>
    </font>
    <font>
      <sz val="8"/>
      <color theme="1"/>
      <name val="Arial"/>
      <family val="2"/>
    </font>
    <font>
      <b/>
      <sz val="12"/>
      <name val="Calibri"/>
      <family val="2"/>
      <scheme val="minor"/>
    </font>
    <font>
      <b/>
      <sz val="12"/>
      <color theme="0" tint="-0.34998626667073579"/>
      <name val="Calibri"/>
      <family val="2"/>
      <scheme val="minor"/>
    </font>
    <font>
      <sz val="12"/>
      <color theme="0" tint="-0.34998626667073579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rgb="FFC6E0B4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 tint="0.499984740745262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theme="1"/>
      </left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2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164">
    <xf numFmtId="0" fontId="0" fillId="0" borderId="0" xfId="0"/>
    <xf numFmtId="0" fontId="0" fillId="0" borderId="0" xfId="0" applyAlignment="1">
      <alignment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164" fontId="4" fillId="0" borderId="0" xfId="1" applyNumberFormat="1" applyFont="1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1" applyNumberFormat="1" applyFont="1" applyAlignment="1">
      <alignment horizontal="center" vertical="center"/>
    </xf>
    <xf numFmtId="164" fontId="0" fillId="0" borderId="0" xfId="1" applyNumberFormat="1" applyFont="1" applyAlignment="1">
      <alignment vertical="center"/>
    </xf>
    <xf numFmtId="164" fontId="0" fillId="0" borderId="0" xfId="0" applyNumberFormat="1" applyAlignment="1">
      <alignment vertical="center"/>
    </xf>
    <xf numFmtId="0" fontId="4" fillId="0" borderId="0" xfId="1" applyNumberFormat="1" applyFont="1" applyFill="1" applyBorder="1" applyAlignment="1">
      <alignment vertical="center"/>
    </xf>
    <xf numFmtId="0" fontId="0" fillId="0" borderId="0" xfId="1" applyNumberFormat="1" applyFont="1" applyAlignment="1">
      <alignment vertical="center"/>
    </xf>
    <xf numFmtId="0" fontId="7" fillId="3" borderId="5" xfId="0" applyFont="1" applyFill="1" applyBorder="1" applyAlignment="1">
      <alignment horizontal="center" vertical="center"/>
    </xf>
    <xf numFmtId="0" fontId="7" fillId="3" borderId="6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horizontal="center" vertical="center"/>
    </xf>
    <xf numFmtId="0" fontId="7" fillId="3" borderId="8" xfId="0" applyFont="1" applyFill="1" applyBorder="1" applyAlignment="1">
      <alignment horizontal="center" vertical="center"/>
    </xf>
    <xf numFmtId="0" fontId="7" fillId="3" borderId="12" xfId="0" applyFon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  <xf numFmtId="0" fontId="3" fillId="5" borderId="15" xfId="0" applyFont="1" applyFill="1" applyBorder="1" applyAlignment="1">
      <alignment horizontal="center" vertical="center"/>
    </xf>
    <xf numFmtId="0" fontId="3" fillId="5" borderId="16" xfId="0" applyFont="1" applyFill="1" applyBorder="1" applyAlignment="1">
      <alignment horizontal="center" vertical="center"/>
    </xf>
    <xf numFmtId="164" fontId="0" fillId="0" borderId="23" xfId="1" applyNumberFormat="1" applyFont="1" applyBorder="1" applyAlignment="1">
      <alignment vertical="center"/>
    </xf>
    <xf numFmtId="0" fontId="2" fillId="2" borderId="25" xfId="0" applyFont="1" applyFill="1" applyBorder="1" applyAlignment="1">
      <alignment horizontal="center" vertical="center"/>
    </xf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vertical="center"/>
    </xf>
    <xf numFmtId="168" fontId="2" fillId="8" borderId="0" xfId="0" applyNumberFormat="1" applyFont="1" applyFill="1" applyAlignment="1">
      <alignment horizontal="center" vertical="center"/>
    </xf>
    <xf numFmtId="167" fontId="0" fillId="0" borderId="15" xfId="0" applyNumberFormat="1" applyBorder="1" applyAlignment="1">
      <alignment vertical="center"/>
    </xf>
    <xf numFmtId="167" fontId="0" fillId="0" borderId="5" xfId="0" applyNumberFormat="1" applyBorder="1" applyAlignment="1">
      <alignment vertical="center"/>
    </xf>
    <xf numFmtId="167" fontId="3" fillId="0" borderId="15" xfId="0" applyNumberFormat="1" applyFont="1" applyBorder="1" applyAlignment="1">
      <alignment vertical="center"/>
    </xf>
    <xf numFmtId="167" fontId="3" fillId="0" borderId="5" xfId="0" applyNumberFormat="1" applyFont="1" applyBorder="1" applyAlignment="1">
      <alignment vertical="center"/>
    </xf>
    <xf numFmtId="10" fontId="0" fillId="0" borderId="15" xfId="0" applyNumberFormat="1" applyBorder="1" applyAlignment="1">
      <alignment vertical="center"/>
    </xf>
    <xf numFmtId="10" fontId="0" fillId="0" borderId="5" xfId="0" applyNumberFormat="1" applyBorder="1" applyAlignment="1">
      <alignment vertical="center"/>
    </xf>
    <xf numFmtId="0" fontId="0" fillId="0" borderId="23" xfId="0" applyBorder="1" applyAlignment="1">
      <alignment vertical="center"/>
    </xf>
    <xf numFmtId="0" fontId="0" fillId="0" borderId="24" xfId="0" applyBorder="1" applyAlignment="1">
      <alignment vertical="center"/>
    </xf>
    <xf numFmtId="0" fontId="0" fillId="0" borderId="0" xfId="0" applyAlignment="1">
      <alignment horizontal="right" vertical="center"/>
    </xf>
    <xf numFmtId="1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vertical="center"/>
    </xf>
    <xf numFmtId="37" fontId="0" fillId="0" borderId="0" xfId="1" applyNumberFormat="1" applyFont="1" applyAlignment="1">
      <alignment vertical="center"/>
    </xf>
    <xf numFmtId="0" fontId="2" fillId="8" borderId="0" xfId="0" applyFont="1" applyFill="1" applyAlignment="1">
      <alignment vertical="center"/>
    </xf>
    <xf numFmtId="0" fontId="8" fillId="4" borderId="9" xfId="0" applyFont="1" applyFill="1" applyBorder="1" applyAlignment="1">
      <alignment horizontal="center" vertical="center"/>
    </xf>
    <xf numFmtId="165" fontId="9" fillId="0" borderId="7" xfId="0" applyNumberFormat="1" applyFont="1" applyBorder="1" applyAlignment="1">
      <alignment horizontal="right" vertical="center"/>
    </xf>
    <xf numFmtId="165" fontId="5" fillId="0" borderId="7" xfId="0" applyNumberFormat="1" applyFont="1" applyBorder="1" applyAlignment="1">
      <alignment vertical="center"/>
    </xf>
    <xf numFmtId="165" fontId="5" fillId="7" borderId="7" xfId="0" applyNumberFormat="1" applyFont="1" applyFill="1" applyBorder="1" applyAlignment="1">
      <alignment vertical="center"/>
    </xf>
    <xf numFmtId="166" fontId="5" fillId="0" borderId="0" xfId="0" applyNumberFormat="1" applyFont="1" applyAlignment="1">
      <alignment vertical="center"/>
    </xf>
    <xf numFmtId="0" fontId="2" fillId="8" borderId="0" xfId="0" applyFont="1" applyFill="1" applyAlignment="1">
      <alignment horizontal="right" vertical="center"/>
    </xf>
    <xf numFmtId="0" fontId="8" fillId="4" borderId="10" xfId="0" applyFont="1" applyFill="1" applyBorder="1" applyAlignment="1">
      <alignment horizontal="center" vertical="center"/>
    </xf>
    <xf numFmtId="9" fontId="5" fillId="0" borderId="11" xfId="0" applyNumberFormat="1" applyFont="1" applyBorder="1" applyAlignment="1">
      <alignment horizontal="center" vertical="center"/>
    </xf>
    <xf numFmtId="43" fontId="0" fillId="0" borderId="0" xfId="1" applyFont="1" applyAlignment="1">
      <alignment vertical="center"/>
    </xf>
    <xf numFmtId="0" fontId="11" fillId="6" borderId="17" xfId="0" applyFont="1" applyFill="1" applyBorder="1" applyAlignment="1">
      <alignment horizontal="center" vertical="center"/>
    </xf>
    <xf numFmtId="165" fontId="12" fillId="0" borderId="8" xfId="3" applyNumberFormat="1" applyBorder="1" applyAlignment="1">
      <alignment horizontal="right" vertical="center"/>
    </xf>
    <xf numFmtId="0" fontId="11" fillId="6" borderId="18" xfId="0" applyFont="1" applyFill="1" applyBorder="1" applyAlignment="1">
      <alignment horizontal="center" vertical="center"/>
    </xf>
    <xf numFmtId="9" fontId="0" fillId="0" borderId="19" xfId="2" applyFont="1" applyBorder="1" applyAlignment="1">
      <alignment horizontal="center" vertical="center"/>
    </xf>
    <xf numFmtId="43" fontId="12" fillId="0" borderId="8" xfId="1" applyFont="1" applyBorder="1" applyAlignment="1">
      <alignment horizontal="right" vertical="center"/>
    </xf>
    <xf numFmtId="10" fontId="0" fillId="7" borderId="21" xfId="0" applyNumberFormat="1" applyFill="1" applyBorder="1" applyAlignment="1">
      <alignment horizontal="center" vertical="center"/>
    </xf>
    <xf numFmtId="10" fontId="0" fillId="7" borderId="0" xfId="0" applyNumberFormat="1" applyFill="1" applyAlignment="1">
      <alignment horizontal="center" vertical="center"/>
    </xf>
    <xf numFmtId="0" fontId="0" fillId="8" borderId="21" xfId="0" applyFill="1" applyBorder="1" applyAlignment="1">
      <alignment horizontal="center" vertical="center"/>
    </xf>
    <xf numFmtId="0" fontId="0" fillId="8" borderId="0" xfId="0" applyFill="1" applyAlignment="1">
      <alignment horizontal="center" vertical="center"/>
    </xf>
    <xf numFmtId="164" fontId="0" fillId="7" borderId="21" xfId="1" applyNumberFormat="1" applyFont="1" applyFill="1" applyBorder="1" applyAlignment="1">
      <alignment vertical="center"/>
    </xf>
    <xf numFmtId="164" fontId="0" fillId="7" borderId="0" xfId="1" applyNumberFormat="1" applyFont="1" applyFill="1" applyAlignment="1">
      <alignment vertical="center"/>
    </xf>
    <xf numFmtId="0" fontId="0" fillId="7" borderId="21" xfId="0" applyFill="1" applyBorder="1" applyAlignment="1">
      <alignment vertical="center"/>
    </xf>
    <xf numFmtId="0" fontId="0" fillId="7" borderId="0" xfId="0" applyFill="1" applyAlignment="1">
      <alignment vertical="center"/>
    </xf>
    <xf numFmtId="9" fontId="0" fillId="0" borderId="0" xfId="2" applyFont="1" applyAlignment="1">
      <alignment vertical="center"/>
    </xf>
    <xf numFmtId="9" fontId="0" fillId="7" borderId="0" xfId="0" applyNumberFormat="1" applyFill="1" applyAlignment="1">
      <alignment vertical="center"/>
    </xf>
    <xf numFmtId="10" fontId="0" fillId="8" borderId="21" xfId="0" applyNumberFormat="1" applyFill="1" applyBorder="1" applyAlignment="1">
      <alignment horizontal="center" vertical="center"/>
    </xf>
    <xf numFmtId="9" fontId="0" fillId="8" borderId="0" xfId="0" applyNumberFormat="1" applyFill="1" applyAlignment="1">
      <alignment horizontal="center" vertical="center"/>
    </xf>
    <xf numFmtId="164" fontId="0" fillId="7" borderId="21" xfId="0" applyNumberFormat="1" applyFill="1" applyBorder="1" applyAlignment="1">
      <alignment vertical="center"/>
    </xf>
    <xf numFmtId="164" fontId="0" fillId="7" borderId="0" xfId="0" applyNumberFormat="1" applyFill="1" applyAlignment="1">
      <alignment vertical="center"/>
    </xf>
    <xf numFmtId="0" fontId="14" fillId="0" borderId="20" xfId="0" applyFont="1" applyBorder="1" applyAlignment="1">
      <alignment horizontal="right" vertical="center"/>
    </xf>
    <xf numFmtId="0" fontId="14" fillId="0" borderId="0" xfId="0" applyFont="1" applyAlignment="1">
      <alignment vertical="center"/>
    </xf>
    <xf numFmtId="0" fontId="0" fillId="0" borderId="22" xfId="0" applyBorder="1" applyAlignment="1">
      <alignment vertical="center"/>
    </xf>
    <xf numFmtId="10" fontId="0" fillId="0" borderId="21" xfId="0" applyNumberFormat="1" applyBorder="1" applyAlignment="1">
      <alignment horizontal="center" vertical="center"/>
    </xf>
    <xf numFmtId="43" fontId="0" fillId="7" borderId="21" xfId="0" applyNumberFormat="1" applyFill="1" applyBorder="1" applyAlignment="1">
      <alignment vertical="center"/>
    </xf>
    <xf numFmtId="43" fontId="0" fillId="7" borderId="0" xfId="0" applyNumberFormat="1" applyFill="1" applyAlignment="1">
      <alignment vertical="center"/>
    </xf>
    <xf numFmtId="164" fontId="15" fillId="0" borderId="0" xfId="1" applyNumberFormat="1" applyFont="1" applyAlignment="1">
      <alignment vertical="center"/>
    </xf>
    <xf numFmtId="167" fontId="0" fillId="0" borderId="0" xfId="0" applyNumberFormat="1" applyAlignment="1">
      <alignment vertical="center"/>
    </xf>
    <xf numFmtId="0" fontId="16" fillId="0" borderId="0" xfId="0" applyFont="1" applyAlignment="1">
      <alignment vertical="center"/>
    </xf>
    <xf numFmtId="0" fontId="17" fillId="0" borderId="0" xfId="0" applyFont="1" applyAlignment="1">
      <alignment vertical="center"/>
    </xf>
    <xf numFmtId="10" fontId="18" fillId="0" borderId="0" xfId="4" applyNumberFormat="1" applyFont="1" applyAlignment="1">
      <alignment vertical="center"/>
    </xf>
    <xf numFmtId="43" fontId="18" fillId="0" borderId="0" xfId="1" applyFont="1" applyAlignment="1">
      <alignment vertical="center"/>
    </xf>
    <xf numFmtId="0" fontId="18" fillId="0" borderId="0" xfId="0" applyFont="1" applyAlignment="1">
      <alignment horizontal="right" vertical="center"/>
    </xf>
    <xf numFmtId="43" fontId="18" fillId="0" borderId="0" xfId="0" applyNumberFormat="1" applyFont="1" applyAlignment="1">
      <alignment vertical="center"/>
    </xf>
    <xf numFmtId="0" fontId="19" fillId="0" borderId="0" xfId="0" applyFont="1" applyAlignment="1">
      <alignment horizontal="right" vertical="center"/>
    </xf>
    <xf numFmtId="43" fontId="16" fillId="0" borderId="0" xfId="1" applyFont="1" applyAlignment="1">
      <alignment vertical="center"/>
    </xf>
    <xf numFmtId="43" fontId="18" fillId="9" borderId="0" xfId="1" applyFont="1" applyFill="1" applyAlignment="1">
      <alignment vertical="center"/>
    </xf>
    <xf numFmtId="43" fontId="16" fillId="9" borderId="12" xfId="1" applyFont="1" applyFill="1" applyBorder="1" applyAlignment="1">
      <alignment vertical="center"/>
    </xf>
    <xf numFmtId="43" fontId="17" fillId="9" borderId="15" xfId="1" applyFont="1" applyFill="1" applyBorder="1" applyAlignment="1">
      <alignment vertical="center"/>
    </xf>
    <xf numFmtId="43" fontId="16" fillId="0" borderId="12" xfId="1" applyFont="1" applyBorder="1" applyAlignment="1">
      <alignment vertical="center"/>
    </xf>
    <xf numFmtId="43" fontId="17" fillId="0" borderId="15" xfId="1" applyFont="1" applyBorder="1" applyAlignment="1">
      <alignment vertical="center"/>
    </xf>
    <xf numFmtId="43" fontId="16" fillId="0" borderId="20" xfId="1" applyFont="1" applyBorder="1" applyAlignment="1">
      <alignment vertical="center"/>
    </xf>
    <xf numFmtId="43" fontId="20" fillId="0" borderId="0" xfId="1" applyFont="1" applyAlignment="1">
      <alignment vertical="center"/>
    </xf>
    <xf numFmtId="0" fontId="21" fillId="0" borderId="0" xfId="0" applyFont="1" applyAlignment="1">
      <alignment vertical="center"/>
    </xf>
    <xf numFmtId="14" fontId="3" fillId="0" borderId="0" xfId="0" applyNumberFormat="1" applyFont="1" applyAlignment="1">
      <alignment horizontal="center" vertical="center"/>
    </xf>
    <xf numFmtId="169" fontId="2" fillId="8" borderId="0" xfId="0" applyNumberFormat="1" applyFont="1" applyFill="1" applyAlignment="1">
      <alignment horizontal="center" vertical="center"/>
    </xf>
    <xf numFmtId="167" fontId="0" fillId="0" borderId="14" xfId="0" applyNumberFormat="1" applyBorder="1" applyAlignment="1">
      <alignment vertical="center"/>
    </xf>
    <xf numFmtId="167" fontId="0" fillId="0" borderId="26" xfId="0" applyNumberFormat="1" applyBorder="1" applyAlignment="1">
      <alignment vertical="center"/>
    </xf>
    <xf numFmtId="169" fontId="2" fillId="8" borderId="8" xfId="0" applyNumberFormat="1" applyFont="1" applyFill="1" applyBorder="1" applyAlignment="1">
      <alignment horizontal="center" vertical="center"/>
    </xf>
    <xf numFmtId="10" fontId="0" fillId="0" borderId="8" xfId="0" applyNumberFormat="1" applyBorder="1" applyAlignment="1">
      <alignment vertical="center"/>
    </xf>
    <xf numFmtId="43" fontId="4" fillId="0" borderId="8" xfId="1" applyFont="1" applyFill="1" applyBorder="1" applyAlignment="1">
      <alignment horizontal="center" vertical="center"/>
    </xf>
    <xf numFmtId="43" fontId="4" fillId="0" borderId="8" xfId="1" applyFont="1" applyBorder="1" applyAlignment="1">
      <alignment vertical="center"/>
    </xf>
    <xf numFmtId="43" fontId="0" fillId="0" borderId="8" xfId="1" applyFont="1" applyBorder="1" applyAlignment="1">
      <alignment vertical="center"/>
    </xf>
    <xf numFmtId="0" fontId="22" fillId="0" borderId="0" xfId="0" applyFont="1" applyAlignment="1">
      <alignment horizontal="center" vertical="center"/>
    </xf>
    <xf numFmtId="0" fontId="22" fillId="0" borderId="0" xfId="0" applyFont="1" applyAlignment="1">
      <alignment horizontal="right" vertical="center"/>
    </xf>
    <xf numFmtId="170" fontId="4" fillId="0" borderId="8" xfId="0" applyNumberFormat="1" applyFont="1" applyBorder="1" applyAlignment="1">
      <alignment horizontal="right" vertical="center"/>
    </xf>
    <xf numFmtId="170" fontId="1" fillId="0" borderId="8" xfId="2" applyNumberFormat="1" applyFont="1" applyBorder="1" applyAlignment="1">
      <alignment horizontal="right" vertical="center"/>
    </xf>
    <xf numFmtId="43" fontId="3" fillId="0" borderId="8" xfId="1" applyFont="1" applyBorder="1" applyAlignment="1">
      <alignment vertical="center"/>
    </xf>
    <xf numFmtId="169" fontId="2" fillId="0" borderId="0" xfId="0" applyNumberFormat="1" applyFont="1" applyAlignment="1">
      <alignment horizontal="center" vertical="center"/>
    </xf>
    <xf numFmtId="167" fontId="3" fillId="0" borderId="0" xfId="0" applyNumberFormat="1" applyFont="1" applyAlignment="1">
      <alignment vertical="center"/>
    </xf>
    <xf numFmtId="10" fontId="0" fillId="0" borderId="0" xfId="0" applyNumberFormat="1" applyAlignment="1">
      <alignment vertical="center"/>
    </xf>
    <xf numFmtId="171" fontId="2" fillId="8" borderId="0" xfId="0" applyNumberFormat="1" applyFont="1" applyFill="1" applyAlignment="1">
      <alignment horizontal="center" vertical="center"/>
    </xf>
    <xf numFmtId="43" fontId="3" fillId="0" borderId="0" xfId="1" applyFont="1" applyAlignment="1">
      <alignment vertical="center"/>
    </xf>
    <xf numFmtId="43" fontId="1" fillId="0" borderId="0" xfId="1" applyFont="1" applyAlignment="1">
      <alignment horizontal="center" vertical="center"/>
    </xf>
    <xf numFmtId="0" fontId="2" fillId="8" borderId="8" xfId="0" applyFont="1" applyFill="1" applyBorder="1" applyAlignment="1">
      <alignment horizontal="center" vertical="center"/>
    </xf>
    <xf numFmtId="170" fontId="3" fillId="9" borderId="8" xfId="2" applyNumberFormat="1" applyFont="1" applyFill="1" applyBorder="1" applyAlignment="1">
      <alignment vertical="center"/>
    </xf>
    <xf numFmtId="0" fontId="0" fillId="10" borderId="0" xfId="0" applyFill="1" applyAlignment="1">
      <alignment vertical="center"/>
    </xf>
    <xf numFmtId="0" fontId="3" fillId="10" borderId="0" xfId="0" applyFont="1" applyFill="1" applyAlignment="1">
      <alignment horizontal="right" vertical="center"/>
    </xf>
    <xf numFmtId="43" fontId="0" fillId="10" borderId="0" xfId="1" applyFont="1" applyFill="1" applyAlignment="1">
      <alignment vertical="center"/>
    </xf>
    <xf numFmtId="10" fontId="3" fillId="0" borderId="8" xfId="2" applyNumberFormat="1" applyFont="1" applyBorder="1" applyAlignment="1">
      <alignment vertical="center"/>
    </xf>
    <xf numFmtId="164" fontId="1" fillId="0" borderId="0" xfId="1" applyNumberFormat="1" applyFont="1" applyAlignment="1">
      <alignment vertical="center"/>
    </xf>
    <xf numFmtId="1" fontId="2" fillId="2" borderId="0" xfId="1" applyNumberFormat="1" applyFont="1" applyFill="1" applyAlignment="1">
      <alignment horizontal="center" vertical="center"/>
    </xf>
    <xf numFmtId="1" fontId="2" fillId="2" borderId="0" xfId="2" applyNumberFormat="1" applyFont="1" applyFill="1" applyAlignment="1">
      <alignment horizontal="center" vertical="center"/>
    </xf>
    <xf numFmtId="1" fontId="3" fillId="0" borderId="0" xfId="5" applyNumberFormat="1" applyFont="1" applyAlignment="1">
      <alignment horizontal="center" vertical="center"/>
    </xf>
    <xf numFmtId="9" fontId="0" fillId="7" borderId="21" xfId="0" applyNumberFormat="1" applyFill="1" applyBorder="1" applyAlignment="1">
      <alignment vertical="center"/>
    </xf>
    <xf numFmtId="9" fontId="0" fillId="8" borderId="21" xfId="0" applyNumberFormat="1" applyFill="1" applyBorder="1" applyAlignment="1">
      <alignment horizontal="center" vertical="center"/>
    </xf>
    <xf numFmtId="9" fontId="0" fillId="0" borderId="0" xfId="2" applyFont="1" applyBorder="1" applyAlignment="1">
      <alignment vertical="center"/>
    </xf>
    <xf numFmtId="164" fontId="0" fillId="7" borderId="0" xfId="1" applyNumberFormat="1" applyFont="1" applyFill="1" applyBorder="1" applyAlignment="1">
      <alignment vertical="center"/>
    </xf>
    <xf numFmtId="164" fontId="0" fillId="0" borderId="0" xfId="1" applyNumberFormat="1" applyFont="1" applyBorder="1" applyAlignment="1">
      <alignment vertical="center"/>
    </xf>
    <xf numFmtId="164" fontId="0" fillId="0" borderId="0" xfId="1" applyNumberFormat="1" applyFont="1" applyFill="1" applyBorder="1" applyAlignment="1">
      <alignment vertical="center"/>
    </xf>
    <xf numFmtId="0" fontId="0" fillId="0" borderId="20" xfId="0" applyBorder="1" applyAlignment="1">
      <alignment vertical="center"/>
    </xf>
    <xf numFmtId="9" fontId="0" fillId="0" borderId="20" xfId="2" applyFont="1" applyFill="1" applyBorder="1" applyAlignment="1">
      <alignment vertical="center"/>
    </xf>
    <xf numFmtId="10" fontId="0" fillId="0" borderId="20" xfId="0" applyNumberFormat="1" applyBorder="1" applyAlignment="1">
      <alignment horizontal="center" vertical="center"/>
    </xf>
    <xf numFmtId="164" fontId="0" fillId="0" borderId="20" xfId="0" applyNumberFormat="1" applyBorder="1" applyAlignment="1">
      <alignment vertical="center"/>
    </xf>
    <xf numFmtId="10" fontId="4" fillId="0" borderId="0" xfId="0" applyNumberFormat="1" applyFont="1" applyAlignment="1">
      <alignment horizontal="center" vertical="center"/>
    </xf>
    <xf numFmtId="164" fontId="4" fillId="0" borderId="0" xfId="1" applyNumberFormat="1" applyFont="1" applyFill="1" applyBorder="1" applyAlignment="1">
      <alignment vertical="center"/>
    </xf>
    <xf numFmtId="9" fontId="0" fillId="0" borderId="0" xfId="0" applyNumberFormat="1" applyAlignment="1">
      <alignment vertical="center"/>
    </xf>
    <xf numFmtId="164" fontId="0" fillId="7" borderId="27" xfId="1" applyNumberFormat="1" applyFont="1" applyFill="1" applyBorder="1" applyAlignment="1">
      <alignment vertical="center"/>
    </xf>
    <xf numFmtId="164" fontId="0" fillId="0" borderId="28" xfId="1" applyNumberFormat="1" applyFont="1" applyBorder="1" applyAlignment="1">
      <alignment vertical="center"/>
    </xf>
    <xf numFmtId="164" fontId="0" fillId="0" borderId="22" xfId="1" applyNumberFormat="1" applyFont="1" applyBorder="1" applyAlignment="1">
      <alignment vertical="center"/>
    </xf>
    <xf numFmtId="0" fontId="23" fillId="2" borderId="0" xfId="0" applyFont="1" applyFill="1" applyAlignment="1">
      <alignment horizontal="center" vertical="center"/>
    </xf>
    <xf numFmtId="1" fontId="23" fillId="2" borderId="0" xfId="2" applyNumberFormat="1" applyFont="1" applyFill="1" applyAlignment="1">
      <alignment horizontal="center" vertical="center"/>
    </xf>
    <xf numFmtId="10" fontId="24" fillId="0" borderId="0" xfId="0" applyNumberFormat="1" applyFont="1" applyAlignment="1">
      <alignment horizontal="center" vertical="center"/>
    </xf>
    <xf numFmtId="10" fontId="24" fillId="0" borderId="20" xfId="0" applyNumberFormat="1" applyFont="1" applyBorder="1" applyAlignment="1">
      <alignment horizontal="center" vertical="center"/>
    </xf>
    <xf numFmtId="0" fontId="24" fillId="0" borderId="0" xfId="0" applyFont="1" applyAlignment="1">
      <alignment horizontal="left" vertical="center"/>
    </xf>
    <xf numFmtId="10" fontId="24" fillId="0" borderId="20" xfId="0" applyNumberFormat="1" applyFont="1" applyBorder="1" applyAlignment="1">
      <alignment horizontal="left" vertical="center"/>
    </xf>
    <xf numFmtId="10" fontId="24" fillId="0" borderId="20" xfId="1" applyNumberFormat="1" applyFont="1" applyFill="1" applyBorder="1" applyAlignment="1">
      <alignment vertical="center"/>
    </xf>
    <xf numFmtId="0" fontId="23" fillId="0" borderId="0" xfId="0" applyFont="1" applyAlignment="1">
      <alignment horizontal="center" vertical="center"/>
    </xf>
    <xf numFmtId="1" fontId="23" fillId="0" borderId="0" xfId="5" applyNumberFormat="1" applyFont="1" applyAlignment="1">
      <alignment horizontal="center" vertical="center"/>
    </xf>
    <xf numFmtId="164" fontId="24" fillId="0" borderId="0" xfId="1" applyNumberFormat="1" applyFont="1" applyAlignment="1">
      <alignment vertical="center"/>
    </xf>
    <xf numFmtId="164" fontId="24" fillId="0" borderId="20" xfId="1" applyNumberFormat="1" applyFont="1" applyBorder="1" applyAlignment="1">
      <alignment vertical="center"/>
    </xf>
    <xf numFmtId="164" fontId="24" fillId="0" borderId="0" xfId="0" applyNumberFormat="1" applyFont="1" applyAlignment="1">
      <alignment vertical="center"/>
    </xf>
    <xf numFmtId="164" fontId="24" fillId="0" borderId="20" xfId="0" applyNumberFormat="1" applyFont="1" applyBorder="1" applyAlignment="1">
      <alignment vertical="center"/>
    </xf>
    <xf numFmtId="0" fontId="3" fillId="0" borderId="0" xfId="0" applyFont="1" applyAlignment="1">
      <alignment horizontal="left" vertical="center"/>
    </xf>
    <xf numFmtId="0" fontId="16" fillId="9" borderId="8" xfId="0" applyFont="1" applyFill="1" applyBorder="1" applyAlignment="1">
      <alignment horizontal="center" vertical="center"/>
    </xf>
    <xf numFmtId="0" fontId="10" fillId="5" borderId="1" xfId="0" applyFont="1" applyFill="1" applyBorder="1" applyAlignment="1">
      <alignment horizontal="center" vertical="center"/>
    </xf>
    <xf numFmtId="0" fontId="10" fillId="5" borderId="2" xfId="0" applyFont="1" applyFill="1" applyBorder="1" applyAlignment="1">
      <alignment horizontal="center" vertical="center"/>
    </xf>
    <xf numFmtId="0" fontId="10" fillId="5" borderId="13" xfId="0" applyFont="1" applyFill="1" applyBorder="1" applyAlignment="1">
      <alignment horizontal="center" vertical="center"/>
    </xf>
    <xf numFmtId="0" fontId="10" fillId="5" borderId="14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3" fillId="5" borderId="9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13" xfId="0" applyFont="1" applyFill="1" applyBorder="1" applyAlignment="1">
      <alignment horizontal="center" vertical="center"/>
    </xf>
    <xf numFmtId="0" fontId="6" fillId="3" borderId="14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</cellXfs>
  <cellStyles count="6">
    <cellStyle name="Comma" xfId="1" builtinId="3"/>
    <cellStyle name="Currency" xfId="5" builtinId="4"/>
    <cellStyle name="Normal" xfId="0" builtinId="0"/>
    <cellStyle name="Normal 2" xfId="3" xr:uid="{CE309EA9-2ACD-FD45-9E22-4DD1ECE3D7F0}"/>
    <cellStyle name="Percent" xfId="2" builtinId="5"/>
    <cellStyle name="Percent 2" xfId="4" xr:uid="{37C79E01-23D8-B544-9ED2-576E7611C43A}"/>
  </cellStyles>
  <dxfs count="277">
    <dxf>
      <numFmt numFmtId="164" formatCode="_(* #,##0_);_(* \(#,##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numFmt numFmtId="164" formatCode="_(* #,##0_);_(* \(#,##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fill>
        <patternFill patternType="solid">
          <fgColor indexed="64"/>
          <bgColor theme="1"/>
        </patternFill>
      </fill>
      <alignment horizontal="center" vertical="center" textRotation="0" wrapText="0" indent="0" justifyLastLine="0" shrinkToFit="0" readingOrder="0"/>
    </dxf>
    <dxf>
      <numFmt numFmtId="35" formatCode="_(* #,##0.00_);_(* \(#,##0.00\);_(* &quot;-&quot;??_);_(@_)"/>
      <fill>
        <patternFill patternType="solid">
          <fgColor indexed="64"/>
          <bgColor rgb="FFFFFF00"/>
        </patternFill>
      </fill>
      <alignment horizontal="general" vertical="center" textRotation="0" wrapText="0" indent="0" justifyLastLine="0" shrinkToFit="0" readingOrder="0"/>
    </dxf>
    <dxf>
      <numFmt numFmtId="164" formatCode="_(* #,##0_);_(* \(#,##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numFmt numFmtId="35" formatCode="_(* #,##0.00_);_(* \(#,##0.00\);_(* &quot;-&quot;??_);_(@_)"/>
      <fill>
        <patternFill patternType="solid">
          <fgColor indexed="64"/>
          <bgColor rgb="FFFFFF00"/>
        </patternFill>
      </fill>
      <alignment horizontal="general" vertical="center" textRotation="0" wrapText="0" indent="0" justifyLastLine="0" shrinkToFit="0" readingOrder="0"/>
    </dxf>
    <dxf>
      <numFmt numFmtId="164" formatCode="_(* #,##0_);_(* \(#,##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numFmt numFmtId="35" formatCode="_(* #,##0.00_);_(* \(#,##0.00\);_(* &quot;-&quot;??_);_(@_)"/>
      <fill>
        <patternFill patternType="solid">
          <fgColor indexed="64"/>
          <bgColor rgb="FFFFFF00"/>
        </patternFill>
      </fill>
      <alignment horizontal="general" vertical="center" textRotation="0" wrapText="0" indent="0" justifyLastLine="0" shrinkToFit="0" readingOrder="0"/>
    </dxf>
    <dxf>
      <numFmt numFmtId="164" formatCode="_(* #,##0_);_(* \(#,##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numFmt numFmtId="35" formatCode="_(* #,##0.00_);_(* \(#,##0.00\);_(* &quot;-&quot;??_);_(@_)"/>
      <fill>
        <patternFill patternType="solid">
          <fgColor indexed="64"/>
          <bgColor rgb="FFFFFF00"/>
        </patternFill>
      </fill>
      <alignment horizontal="general" vertical="center" textRotation="0" wrapText="0" indent="0" justifyLastLine="0" shrinkToFit="0" readingOrder="0"/>
    </dxf>
    <dxf>
      <numFmt numFmtId="164" formatCode="_(* #,##0_);_(* \(#,##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numFmt numFmtId="35" formatCode="_(* #,##0.00_);_(* \(#,##0.00\);_(* &quot;-&quot;??_);_(@_)"/>
      <fill>
        <patternFill patternType="solid">
          <fgColor indexed="64"/>
          <bgColor rgb="FFFFFF00"/>
        </patternFill>
      </fill>
      <alignment horizontal="general" vertical="center" textRotation="0" wrapText="0" indent="0" justifyLastLine="0" shrinkToFit="0" readingOrder="0"/>
    </dxf>
    <dxf>
      <numFmt numFmtId="164" formatCode="_(* #,##0_);_(* \(#,##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numFmt numFmtId="35" formatCode="_(* #,##0.00_);_(* \(#,##0.00\);_(* &quot;-&quot;??_);_(@_)"/>
      <fill>
        <patternFill patternType="solid">
          <fgColor indexed="64"/>
          <bgColor rgb="FFFFFF00"/>
        </patternFill>
      </fill>
      <alignment horizontal="general" vertical="center" textRotation="0" wrapText="0" indent="0" justifyLastLine="0" shrinkToFit="0" readingOrder="0"/>
    </dxf>
    <dxf>
      <numFmt numFmtId="164" formatCode="_(* #,##0_);_(* \(#,##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numFmt numFmtId="35" formatCode="_(* #,##0.00_);_(* \(#,##0.00\);_(* &quot;-&quot;??_);_(@_)"/>
      <fill>
        <patternFill patternType="solid">
          <fgColor indexed="64"/>
          <bgColor rgb="FFFFFF00"/>
        </patternFill>
      </fill>
      <alignment horizontal="general" vertical="center" textRotation="0" wrapText="0" indent="0" justifyLastLine="0" shrinkToFit="0" readingOrder="0"/>
    </dxf>
    <dxf>
      <numFmt numFmtId="164" formatCode="_(* #,##0_);_(* \(#,##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numFmt numFmtId="35" formatCode="_(* #,##0.00_);_(* \(#,##0.00\);_(* &quot;-&quot;??_);_(@_)"/>
      <fill>
        <patternFill patternType="solid">
          <fgColor indexed="64"/>
          <bgColor rgb="FFFFFF00"/>
        </patternFill>
      </fill>
      <alignment horizontal="general" vertical="center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numFmt numFmtId="35" formatCode="_(* #,##0.00_);_(* \(#,##0.00\);_(* &quot;-&quot;??_);_(@_)"/>
      <fill>
        <patternFill patternType="solid">
          <fgColor indexed="64"/>
          <bgColor rgb="FFFFFF00"/>
        </patternFill>
      </fill>
      <alignment horizontal="general" vertical="center" textRotation="0" wrapText="0" indent="0" justifyLastLine="0" shrinkToFit="0" readingOrder="0"/>
    </dxf>
    <dxf>
      <numFmt numFmtId="164" formatCode="_(* #,##0_);_(* \(#,##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numFmt numFmtId="35" formatCode="_(* #,##0.00_);_(* \(#,##0.00\);_(* &quot;-&quot;??_);_(@_)"/>
      <fill>
        <patternFill patternType="solid">
          <fgColor indexed="64"/>
          <bgColor rgb="FFFFFF0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numFmt numFmtId="164" formatCode="_(* #,##0_);_(* \(#,##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numFmt numFmtId="164" formatCode="_(* #,##0_);_(* \(#,##0\);_(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  <border outline="0">
        <right style="thin">
          <color indexed="64"/>
        </right>
      </border>
    </dxf>
    <dxf>
      <numFmt numFmtId="164" formatCode="_(* #,##0_);_(* \(#,##0\);_(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_(* #,##0_);_(* \(#,##0\);_(* &quot;-&quot;??_);_(@_)"/>
      <fill>
        <patternFill patternType="solid">
          <fgColor indexed="64"/>
          <bgColor rgb="FFFFFF00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numFmt numFmtId="164" formatCode="_(* #,##0_);_(* \(#,##0\);_(* &quot;-&quot;??_);_(@_)"/>
      <fill>
        <patternFill patternType="solid">
          <fgColor indexed="64"/>
          <bgColor rgb="FFFFFF00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numFmt numFmtId="164" formatCode="_(* #,##0_);_(* \(#,##0\);_(* &quot;-&quot;??_);_(@_)"/>
      <fill>
        <patternFill patternType="solid">
          <fgColor indexed="64"/>
          <bgColor rgb="FFFFFF00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numFmt numFmtId="164" formatCode="_(* #,##0_);_(* \(#,##0\);_(* &quot;-&quot;??_);_(@_)"/>
      <fill>
        <patternFill patternType="solid">
          <fgColor indexed="64"/>
          <bgColor rgb="FFFFFF00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numFmt numFmtId="164" formatCode="_(* #,##0_);_(* \(#,##0\);_(* &quot;-&quot;??_);_(@_)"/>
      <fill>
        <patternFill patternType="solid">
          <fgColor indexed="64"/>
          <bgColor rgb="FFFFFF00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numFmt numFmtId="164" formatCode="_(* #,##0_);_(* \(#,##0\);_(* &quot;-&quot;??_);_(@_)"/>
      <fill>
        <patternFill patternType="solid">
          <fgColor indexed="64"/>
          <bgColor rgb="FFFFFF00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numFmt numFmtId="164" formatCode="_(* #,##0_);_(* \(#,##0\);_(* &quot;-&quot;??_);_(@_)"/>
      <fill>
        <patternFill patternType="solid">
          <fgColor indexed="64"/>
          <bgColor rgb="FFFFFF0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numFmt numFmtId="164" formatCode="_(* #,##0_);_(* \(#,##0\);_(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numFmt numFmtId="164" formatCode="_(* #,##0_);_(* \(#,##0\);_(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numFmt numFmtId="164" formatCode="_(* #,##0_);_(* \(#,##0\);_(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numFmt numFmtId="164" formatCode="_(* #,##0_);_(* \(#,##0\);_(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numFmt numFmtId="164" formatCode="_(* #,##0_);_(* \(#,##0\);_(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b/>
      </font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_(* #,##0_);_(* \(#,##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numFmt numFmtId="164" formatCode="_(* #,##0_);_(* \(#,##0\);_(* &quot;-&quot;??_);_(@_)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fill>
        <patternFill patternType="solid">
          <fgColor indexed="64"/>
          <bgColor theme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0" tint="-0.34998626667073579"/>
        <name val="Calibri"/>
        <family val="2"/>
        <scheme val="minor"/>
      </font>
      <numFmt numFmtId="14" formatCode="0.00%"/>
      <border diagonalUp="0" diagonalDown="0" outline="0">
        <left/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 tint="-0.34998626667073579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border outline="0">
        <top style="thin">
          <color theme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numFmt numFmtId="0" formatCode="General"/>
      <fill>
        <patternFill patternType="solid">
          <fgColor theme="1"/>
          <bgColor theme="1"/>
        </patternFill>
      </fill>
      <alignment horizontal="center" vertical="center" textRotation="0" wrapText="0" indent="0" justifyLastLine="0" shrinkToFit="0" readingOrder="0"/>
    </dxf>
    <dxf>
      <numFmt numFmtId="164" formatCode="_(* #,##0_);_(* \(#,##0\);_(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numFmt numFmtId="164" formatCode="_(* #,##0_);_(* \(#,##0\);_(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numFmt numFmtId="164" formatCode="_(* #,##0_);_(* \(#,##0\);_(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numFmt numFmtId="164" formatCode="_(* #,##0_);_(* \(#,##0\);_(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numFmt numFmtId="164" formatCode="_(* #,##0_);_(* \(#,##0\);_(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numFmt numFmtId="164" formatCode="_(* #,##0_);_(* \(#,##0\);_(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numFmt numFmtId="164" formatCode="_(* #,##0_);_(* \(#,##0\);_(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numFmt numFmtId="164" formatCode="_(* #,##0_);_(* \(#,##0\);_(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numFmt numFmtId="164" formatCode="_(* #,##0_);_(* \(#,##0\);_(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numFmt numFmtId="164" formatCode="_(* #,##0_);_(* \(#,##0\);_(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 tint="-0.34998626667073579"/>
        <name val="Calibri"/>
        <family val="2"/>
        <scheme val="minor"/>
      </font>
      <numFmt numFmtId="164" formatCode="_(* #,##0_);_(* \(#,##0\);_(* &quot;-&quot;??_);_(@_)"/>
      <alignment horizontal="general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2"/>
        <color theme="0" tint="-0.34998626667073579"/>
        <name val="Calibri"/>
        <family val="2"/>
        <scheme val="minor"/>
      </font>
      <numFmt numFmtId="164" formatCode="_(* #,##0_);_(* \(#,##0\);_(* &quot;-&quot;??_);_(@_)"/>
      <alignment horizontal="general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 tint="-0.34998626667073579"/>
        <name val="Calibri"/>
        <family val="2"/>
        <scheme val="minor"/>
      </font>
      <numFmt numFmtId="164" formatCode="_(* #,##0_);_(* \(#,##0\);_(* &quot;-&quot;??_);_(@_)"/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0" tint="-0.34998626667073579"/>
        <name val="Calibri"/>
        <family val="2"/>
        <scheme val="minor"/>
      </font>
      <numFmt numFmtId="164" formatCode="_(* #,##0_);_(* \(#,##0\);_(* &quot;-&quot;??_);_(@_)"/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colors>
    <mruColors>
      <color rgb="FF40404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microsoft.com/office/2017/10/relationships/person" Target="persons/perso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635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'TE Office (m)'!$C$9:$ED$9</c:f>
              <c:numCache>
                <c:formatCode>0.00%</c:formatCode>
                <c:ptCount val="132"/>
                <c:pt idx="0">
                  <c:v>0.74315713692948415</c:v>
                </c:pt>
                <c:pt idx="1">
                  <c:v>0.74315713692948415</c:v>
                </c:pt>
                <c:pt idx="2">
                  <c:v>0.73899143516531585</c:v>
                </c:pt>
                <c:pt idx="3">
                  <c:v>0.73899143516531585</c:v>
                </c:pt>
                <c:pt idx="4">
                  <c:v>0.74126860277502316</c:v>
                </c:pt>
                <c:pt idx="5">
                  <c:v>0.74126860277502316</c:v>
                </c:pt>
                <c:pt idx="6">
                  <c:v>0.82154653424767388</c:v>
                </c:pt>
                <c:pt idx="7">
                  <c:v>0.84736353124707231</c:v>
                </c:pt>
                <c:pt idx="8">
                  <c:v>0.84736353124707231</c:v>
                </c:pt>
                <c:pt idx="9">
                  <c:v>0.86770966904032076</c:v>
                </c:pt>
                <c:pt idx="10">
                  <c:v>0.86064064077446345</c:v>
                </c:pt>
                <c:pt idx="11">
                  <c:v>0.86872328733859105</c:v>
                </c:pt>
                <c:pt idx="12">
                  <c:v>0.88395617734227883</c:v>
                </c:pt>
                <c:pt idx="13">
                  <c:v>0.88333738718989163</c:v>
                </c:pt>
                <c:pt idx="14">
                  <c:v>0.88333738718989163</c:v>
                </c:pt>
                <c:pt idx="15">
                  <c:v>0.88779892869760091</c:v>
                </c:pt>
                <c:pt idx="16">
                  <c:v>0.88779892869760091</c:v>
                </c:pt>
                <c:pt idx="17">
                  <c:v>0.88779892869760091</c:v>
                </c:pt>
                <c:pt idx="18">
                  <c:v>0.89229934101146136</c:v>
                </c:pt>
                <c:pt idx="19">
                  <c:v>0.89229934101146136</c:v>
                </c:pt>
                <c:pt idx="20">
                  <c:v>0.89229934101146136</c:v>
                </c:pt>
                <c:pt idx="21">
                  <c:v>0.89229934101146136</c:v>
                </c:pt>
                <c:pt idx="22">
                  <c:v>0.89229934101146136</c:v>
                </c:pt>
                <c:pt idx="23">
                  <c:v>0.89229934101146136</c:v>
                </c:pt>
                <c:pt idx="24">
                  <c:v>0.89229934101146136</c:v>
                </c:pt>
                <c:pt idx="25">
                  <c:v>0.89229934101146136</c:v>
                </c:pt>
                <c:pt idx="26">
                  <c:v>0.89229934101146136</c:v>
                </c:pt>
                <c:pt idx="27">
                  <c:v>0.89229934101146136</c:v>
                </c:pt>
                <c:pt idx="28">
                  <c:v>0.88722264832045128</c:v>
                </c:pt>
                <c:pt idx="29">
                  <c:v>0.88722264832045128</c:v>
                </c:pt>
                <c:pt idx="30">
                  <c:v>0.88722264832045128</c:v>
                </c:pt>
                <c:pt idx="31">
                  <c:v>0.88722264832045128</c:v>
                </c:pt>
                <c:pt idx="32">
                  <c:v>0.88722264832045128</c:v>
                </c:pt>
                <c:pt idx="33">
                  <c:v>0.88722264832045128</c:v>
                </c:pt>
                <c:pt idx="34">
                  <c:v>0.88725572985760115</c:v>
                </c:pt>
                <c:pt idx="35">
                  <c:v>0.88725572985760115</c:v>
                </c:pt>
                <c:pt idx="36">
                  <c:v>0.88725572985760115</c:v>
                </c:pt>
                <c:pt idx="37">
                  <c:v>0.88725572985760115</c:v>
                </c:pt>
                <c:pt idx="38">
                  <c:v>0.88725572985760115</c:v>
                </c:pt>
                <c:pt idx="39">
                  <c:v>0.88725572985760115</c:v>
                </c:pt>
                <c:pt idx="40">
                  <c:v>0.88497856224789373</c:v>
                </c:pt>
                <c:pt idx="41">
                  <c:v>0.88497856224789373</c:v>
                </c:pt>
                <c:pt idx="42">
                  <c:v>0.88272934853707807</c:v>
                </c:pt>
                <c:pt idx="43">
                  <c:v>0.88272934853707807</c:v>
                </c:pt>
                <c:pt idx="44">
                  <c:v>0.88272934853707807</c:v>
                </c:pt>
                <c:pt idx="45">
                  <c:v>0.88272934853707807</c:v>
                </c:pt>
                <c:pt idx="46">
                  <c:v>0.88272934853707807</c:v>
                </c:pt>
                <c:pt idx="47">
                  <c:v>0.88272934853707807</c:v>
                </c:pt>
                <c:pt idx="48">
                  <c:v>0.88975935435641074</c:v>
                </c:pt>
                <c:pt idx="49">
                  <c:v>0.88975935435641074</c:v>
                </c:pt>
                <c:pt idx="50">
                  <c:v>0.88975935435641074</c:v>
                </c:pt>
                <c:pt idx="51">
                  <c:v>0.88975935435641074</c:v>
                </c:pt>
                <c:pt idx="52">
                  <c:v>0.88975935435641074</c:v>
                </c:pt>
                <c:pt idx="53">
                  <c:v>0.88975935435641074</c:v>
                </c:pt>
                <c:pt idx="54">
                  <c:v>0.88975935435641074</c:v>
                </c:pt>
                <c:pt idx="55">
                  <c:v>0.88975935435641074</c:v>
                </c:pt>
                <c:pt idx="56">
                  <c:v>0.83855823227121906</c:v>
                </c:pt>
                <c:pt idx="57">
                  <c:v>0.83855823227121906</c:v>
                </c:pt>
                <c:pt idx="58">
                  <c:v>0.83855823227121906</c:v>
                </c:pt>
                <c:pt idx="59">
                  <c:v>0.83855823227121906</c:v>
                </c:pt>
                <c:pt idx="60">
                  <c:v>0.87510539464585357</c:v>
                </c:pt>
                <c:pt idx="61">
                  <c:v>0.87510539464585357</c:v>
                </c:pt>
                <c:pt idx="62">
                  <c:v>0.87510539464585357</c:v>
                </c:pt>
                <c:pt idx="63">
                  <c:v>0.87510539464585357</c:v>
                </c:pt>
                <c:pt idx="64">
                  <c:v>0.87510539464585357</c:v>
                </c:pt>
                <c:pt idx="65">
                  <c:v>0.87510539464585357</c:v>
                </c:pt>
                <c:pt idx="66">
                  <c:v>0.87510539464585357</c:v>
                </c:pt>
                <c:pt idx="67">
                  <c:v>0.87510539464585357</c:v>
                </c:pt>
                <c:pt idx="68">
                  <c:v>0.87510539464585357</c:v>
                </c:pt>
                <c:pt idx="69">
                  <c:v>0.87510539464585357</c:v>
                </c:pt>
                <c:pt idx="70">
                  <c:v>0.87510539464585357</c:v>
                </c:pt>
                <c:pt idx="71">
                  <c:v>0.87510539464585357</c:v>
                </c:pt>
                <c:pt idx="72">
                  <c:v>0.88806359815512048</c:v>
                </c:pt>
                <c:pt idx="73">
                  <c:v>0.88806359815512048</c:v>
                </c:pt>
                <c:pt idx="74">
                  <c:v>0.88806359815512048</c:v>
                </c:pt>
                <c:pt idx="75">
                  <c:v>0.8833107737128072</c:v>
                </c:pt>
                <c:pt idx="76">
                  <c:v>0.88786494352453593</c:v>
                </c:pt>
                <c:pt idx="77">
                  <c:v>0.88786494352453593</c:v>
                </c:pt>
                <c:pt idx="78">
                  <c:v>0.89236535583839638</c:v>
                </c:pt>
                <c:pt idx="79">
                  <c:v>0.88781118602666753</c:v>
                </c:pt>
                <c:pt idx="80">
                  <c:v>0.88781118602666753</c:v>
                </c:pt>
                <c:pt idx="81">
                  <c:v>0.88553649953224656</c:v>
                </c:pt>
                <c:pt idx="82">
                  <c:v>0.88553649953224656</c:v>
                </c:pt>
                <c:pt idx="83">
                  <c:v>0.88553649953224656</c:v>
                </c:pt>
                <c:pt idx="84">
                  <c:v>0.86807788370911931</c:v>
                </c:pt>
                <c:pt idx="85">
                  <c:v>0.86807788370911931</c:v>
                </c:pt>
                <c:pt idx="86">
                  <c:v>0.86807788370911931</c:v>
                </c:pt>
                <c:pt idx="87">
                  <c:v>0.86807788370911931</c:v>
                </c:pt>
                <c:pt idx="88">
                  <c:v>0.86807788370911931</c:v>
                </c:pt>
                <c:pt idx="89">
                  <c:v>0.86807788370911931</c:v>
                </c:pt>
                <c:pt idx="90">
                  <c:v>0.89367770041712935</c:v>
                </c:pt>
                <c:pt idx="91">
                  <c:v>0.89367770041712935</c:v>
                </c:pt>
                <c:pt idx="92">
                  <c:v>0.89367770041712935</c:v>
                </c:pt>
                <c:pt idx="93">
                  <c:v>0.89367770041712935</c:v>
                </c:pt>
                <c:pt idx="94">
                  <c:v>0.89367770041712935</c:v>
                </c:pt>
                <c:pt idx="95">
                  <c:v>0.89367770041712935</c:v>
                </c:pt>
                <c:pt idx="96">
                  <c:v>0.89367770041712935</c:v>
                </c:pt>
                <c:pt idx="97">
                  <c:v>0.89367770041712935</c:v>
                </c:pt>
                <c:pt idx="98">
                  <c:v>0.89367770041712935</c:v>
                </c:pt>
                <c:pt idx="99">
                  <c:v>0.89367770041712935</c:v>
                </c:pt>
                <c:pt idx="100">
                  <c:v>0.89367770041712935</c:v>
                </c:pt>
                <c:pt idx="101">
                  <c:v>0.89367770041712935</c:v>
                </c:pt>
                <c:pt idx="102">
                  <c:v>0.89367770041712935</c:v>
                </c:pt>
                <c:pt idx="103">
                  <c:v>0.89367770041712935</c:v>
                </c:pt>
                <c:pt idx="104">
                  <c:v>0.89367770041712935</c:v>
                </c:pt>
                <c:pt idx="105">
                  <c:v>0.89367770041712935</c:v>
                </c:pt>
                <c:pt idx="106">
                  <c:v>0.89367770041712935</c:v>
                </c:pt>
                <c:pt idx="107">
                  <c:v>0.89367770041712935</c:v>
                </c:pt>
                <c:pt idx="108">
                  <c:v>0.89367770041712935</c:v>
                </c:pt>
                <c:pt idx="109">
                  <c:v>0.89367770041712935</c:v>
                </c:pt>
                <c:pt idx="110">
                  <c:v>0.89367770041712935</c:v>
                </c:pt>
                <c:pt idx="111">
                  <c:v>0.89367770041712935</c:v>
                </c:pt>
                <c:pt idx="112">
                  <c:v>0.89367770041712935</c:v>
                </c:pt>
                <c:pt idx="113">
                  <c:v>0.89367770041712935</c:v>
                </c:pt>
                <c:pt idx="114">
                  <c:v>0.89367770041712935</c:v>
                </c:pt>
                <c:pt idx="115">
                  <c:v>0.89367770041712935</c:v>
                </c:pt>
                <c:pt idx="116">
                  <c:v>0.89367770041712935</c:v>
                </c:pt>
                <c:pt idx="117">
                  <c:v>0.89367770041712935</c:v>
                </c:pt>
                <c:pt idx="118">
                  <c:v>0.89367770041712935</c:v>
                </c:pt>
                <c:pt idx="119">
                  <c:v>0.89367770041712935</c:v>
                </c:pt>
                <c:pt idx="120">
                  <c:v>0.89367770041712935</c:v>
                </c:pt>
                <c:pt idx="121">
                  <c:v>0.89367770041712935</c:v>
                </c:pt>
                <c:pt idx="122">
                  <c:v>0.89367770041712935</c:v>
                </c:pt>
                <c:pt idx="123">
                  <c:v>0.89367770041712935</c:v>
                </c:pt>
                <c:pt idx="124">
                  <c:v>0.89367770041712935</c:v>
                </c:pt>
                <c:pt idx="125">
                  <c:v>0.89367770041712935</c:v>
                </c:pt>
                <c:pt idx="126">
                  <c:v>0.89367770041712935</c:v>
                </c:pt>
                <c:pt idx="127">
                  <c:v>0.89367770041712935</c:v>
                </c:pt>
                <c:pt idx="128">
                  <c:v>0.89367770041712935</c:v>
                </c:pt>
                <c:pt idx="129">
                  <c:v>0.89367770041712935</c:v>
                </c:pt>
                <c:pt idx="130">
                  <c:v>0.89367770041712935</c:v>
                </c:pt>
                <c:pt idx="131">
                  <c:v>0.89367770041712935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D2A-9848-8E3A-DBAD9C111CB7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605739808"/>
        <c:axId val="1462204016"/>
      </c:lineChart>
      <c:dateAx>
        <c:axId val="6057398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2204016"/>
        <c:crosses val="autoZero"/>
        <c:auto val="0"/>
        <c:lblOffset val="100"/>
        <c:baseTimeUnit val="days"/>
        <c:minorUnit val="1"/>
      </c:dateAx>
      <c:valAx>
        <c:axId val="1462204016"/>
        <c:scaling>
          <c:orientation val="minMax"/>
        </c:scaling>
        <c:delete val="1"/>
        <c:axPos val="r"/>
        <c:numFmt formatCode="0.00%" sourceLinked="1"/>
        <c:majorTickMark val="none"/>
        <c:minorTickMark val="none"/>
        <c:tickLblPos val="nextTo"/>
        <c:crossAx val="605739808"/>
        <c:crosses val="max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spPr>
            <a:gradFill flip="none" rotWithShape="1">
              <a:gsLst>
                <a:gs pos="48000">
                  <a:schemeClr val="tx1">
                    <a:lumMod val="85000"/>
                    <a:lumOff val="15000"/>
                    <a:alpha val="70000"/>
                  </a:schemeClr>
                </a:gs>
                <a:gs pos="0">
                  <a:schemeClr val="tx1">
                    <a:lumMod val="95000"/>
                    <a:lumOff val="5000"/>
                    <a:alpha val="70000"/>
                  </a:schemeClr>
                </a:gs>
                <a:gs pos="99000">
                  <a:schemeClr val="tx1">
                    <a:lumMod val="75000"/>
                    <a:lumOff val="25000"/>
                    <a:alpha val="70000"/>
                  </a:schemeClr>
                </a:gs>
                <a:gs pos="100000">
                  <a:schemeClr val="accent2">
                    <a:alpha val="70000"/>
                  </a:schemeClr>
                </a:gs>
              </a:gsLst>
              <a:lin ang="16200000" scaled="1"/>
              <a:tileRect/>
            </a:gradFill>
            <a:ln>
              <a:noFill/>
            </a:ln>
            <a:effectLst/>
          </c:spPr>
          <c:invertIfNegative val="0"/>
          <c:val>
            <c:numRef>
              <c:f>'TE All % (m)'!$D$20:$EE$20</c:f>
              <c:numCache>
                <c:formatCode>0.00%</c:formatCode>
                <c:ptCount val="132"/>
                <c:pt idx="0">
                  <c:v>0.81121612770824159</c:v>
                </c:pt>
                <c:pt idx="1">
                  <c:v>0.81121612770824159</c:v>
                </c:pt>
                <c:pt idx="2">
                  <c:v>0.81121612770824159</c:v>
                </c:pt>
                <c:pt idx="3">
                  <c:v>0.81121612770824159</c:v>
                </c:pt>
                <c:pt idx="4">
                  <c:v>0.81121612770824159</c:v>
                </c:pt>
                <c:pt idx="5">
                  <c:v>0.81121612770824159</c:v>
                </c:pt>
                <c:pt idx="6">
                  <c:v>0.81121612770824159</c:v>
                </c:pt>
                <c:pt idx="7">
                  <c:v>0.81121612770824159</c:v>
                </c:pt>
                <c:pt idx="8">
                  <c:v>0.81121612770824159</c:v>
                </c:pt>
                <c:pt idx="9">
                  <c:v>0.81121612770824159</c:v>
                </c:pt>
                <c:pt idx="10">
                  <c:v>0.81121612770824159</c:v>
                </c:pt>
                <c:pt idx="11">
                  <c:v>0.81121612770824159</c:v>
                </c:pt>
                <c:pt idx="12">
                  <c:v>0.89627449309068341</c:v>
                </c:pt>
                <c:pt idx="13">
                  <c:v>0.89627449309068341</c:v>
                </c:pt>
                <c:pt idx="14">
                  <c:v>0.89627449309068341</c:v>
                </c:pt>
                <c:pt idx="15">
                  <c:v>0.89627449309068341</c:v>
                </c:pt>
                <c:pt idx="16">
                  <c:v>0.89627449309068341</c:v>
                </c:pt>
                <c:pt idx="17">
                  <c:v>0.89627449309068341</c:v>
                </c:pt>
                <c:pt idx="18">
                  <c:v>0.89627449309068341</c:v>
                </c:pt>
                <c:pt idx="19">
                  <c:v>0.89627449309068341</c:v>
                </c:pt>
                <c:pt idx="20">
                  <c:v>0.89627449309068341</c:v>
                </c:pt>
                <c:pt idx="21">
                  <c:v>0.89627449309068341</c:v>
                </c:pt>
                <c:pt idx="22">
                  <c:v>0.89627449309068341</c:v>
                </c:pt>
                <c:pt idx="23">
                  <c:v>0.89627449309068341</c:v>
                </c:pt>
                <c:pt idx="24">
                  <c:v>0.89621466651915016</c:v>
                </c:pt>
                <c:pt idx="25">
                  <c:v>0.89621466651915016</c:v>
                </c:pt>
                <c:pt idx="26">
                  <c:v>0.89621466651915016</c:v>
                </c:pt>
                <c:pt idx="27">
                  <c:v>0.89621466651915016</c:v>
                </c:pt>
                <c:pt idx="28">
                  <c:v>0.89621466651915016</c:v>
                </c:pt>
                <c:pt idx="29">
                  <c:v>0.89621466651915016</c:v>
                </c:pt>
                <c:pt idx="30">
                  <c:v>0.89621466651915016</c:v>
                </c:pt>
                <c:pt idx="31">
                  <c:v>0.89621466651915016</c:v>
                </c:pt>
                <c:pt idx="32">
                  <c:v>0.89621466651915016</c:v>
                </c:pt>
                <c:pt idx="33">
                  <c:v>0.89621466651915016</c:v>
                </c:pt>
                <c:pt idx="34">
                  <c:v>0.89621466651915016</c:v>
                </c:pt>
                <c:pt idx="35">
                  <c:v>0.89621466651915016</c:v>
                </c:pt>
                <c:pt idx="36">
                  <c:v>0.89224538308143109</c:v>
                </c:pt>
                <c:pt idx="37">
                  <c:v>0.89224538308143109</c:v>
                </c:pt>
                <c:pt idx="38">
                  <c:v>0.89224538308143109</c:v>
                </c:pt>
                <c:pt idx="39">
                  <c:v>0.89224538308143109</c:v>
                </c:pt>
                <c:pt idx="40">
                  <c:v>0.89224538308143109</c:v>
                </c:pt>
                <c:pt idx="41">
                  <c:v>0.89224538308143109</c:v>
                </c:pt>
                <c:pt idx="42">
                  <c:v>0.89224538308143109</c:v>
                </c:pt>
                <c:pt idx="43">
                  <c:v>0.89224538308143109</c:v>
                </c:pt>
                <c:pt idx="44">
                  <c:v>0.89224538308143109</c:v>
                </c:pt>
                <c:pt idx="45">
                  <c:v>0.89224538308143109</c:v>
                </c:pt>
                <c:pt idx="46">
                  <c:v>0.89224538308143109</c:v>
                </c:pt>
                <c:pt idx="47">
                  <c:v>0.89224538308143109</c:v>
                </c:pt>
                <c:pt idx="48">
                  <c:v>0.88126037349636654</c:v>
                </c:pt>
                <c:pt idx="49">
                  <c:v>0.88126037349636654</c:v>
                </c:pt>
                <c:pt idx="50">
                  <c:v>0.88126037349636654</c:v>
                </c:pt>
                <c:pt idx="51">
                  <c:v>0.88126037349636654</c:v>
                </c:pt>
                <c:pt idx="52">
                  <c:v>0.88126037349636654</c:v>
                </c:pt>
                <c:pt idx="53">
                  <c:v>0.88126037349636654</c:v>
                </c:pt>
                <c:pt idx="54">
                  <c:v>0.88126037349636654</c:v>
                </c:pt>
                <c:pt idx="55">
                  <c:v>0.88126037349636654</c:v>
                </c:pt>
                <c:pt idx="56">
                  <c:v>0.88126037349636654</c:v>
                </c:pt>
                <c:pt idx="57">
                  <c:v>0.88126037349636654</c:v>
                </c:pt>
                <c:pt idx="58">
                  <c:v>0.88126037349636654</c:v>
                </c:pt>
                <c:pt idx="59">
                  <c:v>0.88126037349636654</c:v>
                </c:pt>
                <c:pt idx="60">
                  <c:v>0.88348404518333423</c:v>
                </c:pt>
                <c:pt idx="61">
                  <c:v>0.88348404518333423</c:v>
                </c:pt>
                <c:pt idx="62">
                  <c:v>0.88348404518333423</c:v>
                </c:pt>
                <c:pt idx="63">
                  <c:v>0.88348404518333423</c:v>
                </c:pt>
                <c:pt idx="64">
                  <c:v>0.88348404518333423</c:v>
                </c:pt>
                <c:pt idx="65">
                  <c:v>0.88348404518333423</c:v>
                </c:pt>
                <c:pt idx="66">
                  <c:v>0.88348404518333423</c:v>
                </c:pt>
                <c:pt idx="67">
                  <c:v>0.88348404518333423</c:v>
                </c:pt>
                <c:pt idx="68">
                  <c:v>0.88348404518333423</c:v>
                </c:pt>
                <c:pt idx="69">
                  <c:v>0.88348404518333423</c:v>
                </c:pt>
                <c:pt idx="70">
                  <c:v>0.88348404518333423</c:v>
                </c:pt>
                <c:pt idx="71">
                  <c:v>0.88348404518333423</c:v>
                </c:pt>
                <c:pt idx="72">
                  <c:v>0.89473902374484471</c:v>
                </c:pt>
                <c:pt idx="73">
                  <c:v>0.89473902374484471</c:v>
                </c:pt>
                <c:pt idx="74">
                  <c:v>0.89473902374484471</c:v>
                </c:pt>
                <c:pt idx="75">
                  <c:v>0.89473902374484471</c:v>
                </c:pt>
                <c:pt idx="76">
                  <c:v>0.89473902374484471</c:v>
                </c:pt>
                <c:pt idx="77">
                  <c:v>0.89473902374484471</c:v>
                </c:pt>
                <c:pt idx="78">
                  <c:v>0.89473902374484471</c:v>
                </c:pt>
                <c:pt idx="79">
                  <c:v>0.89473902374484471</c:v>
                </c:pt>
                <c:pt idx="80">
                  <c:v>0.89473902374484471</c:v>
                </c:pt>
                <c:pt idx="81">
                  <c:v>0.89473902374484471</c:v>
                </c:pt>
                <c:pt idx="82">
                  <c:v>0.89473902374484471</c:v>
                </c:pt>
                <c:pt idx="83">
                  <c:v>0.89473902374484471</c:v>
                </c:pt>
                <c:pt idx="84">
                  <c:v>0.88880335140849887</c:v>
                </c:pt>
                <c:pt idx="85">
                  <c:v>0.88880335140849887</c:v>
                </c:pt>
                <c:pt idx="86">
                  <c:v>0.88880335140849887</c:v>
                </c:pt>
                <c:pt idx="87">
                  <c:v>0.88880335140849887</c:v>
                </c:pt>
                <c:pt idx="88">
                  <c:v>0.88880335140849887</c:v>
                </c:pt>
                <c:pt idx="89">
                  <c:v>0.88880335140849887</c:v>
                </c:pt>
                <c:pt idx="90">
                  <c:v>0.88880335140849887</c:v>
                </c:pt>
                <c:pt idx="91">
                  <c:v>0.88880335140849887</c:v>
                </c:pt>
                <c:pt idx="92">
                  <c:v>0.88880335140849887</c:v>
                </c:pt>
                <c:pt idx="93">
                  <c:v>0.88880335140849887</c:v>
                </c:pt>
                <c:pt idx="94">
                  <c:v>0.88880335140849887</c:v>
                </c:pt>
                <c:pt idx="95">
                  <c:v>0.88880335140849887</c:v>
                </c:pt>
                <c:pt idx="96">
                  <c:v>0.900598560100347</c:v>
                </c:pt>
                <c:pt idx="97">
                  <c:v>0.900598560100347</c:v>
                </c:pt>
                <c:pt idx="98">
                  <c:v>0.900598560100347</c:v>
                </c:pt>
                <c:pt idx="99">
                  <c:v>0.900598560100347</c:v>
                </c:pt>
                <c:pt idx="100">
                  <c:v>0.900598560100347</c:v>
                </c:pt>
                <c:pt idx="101">
                  <c:v>0.900598560100347</c:v>
                </c:pt>
                <c:pt idx="102">
                  <c:v>0.900598560100347</c:v>
                </c:pt>
                <c:pt idx="103">
                  <c:v>0.900598560100347</c:v>
                </c:pt>
                <c:pt idx="104">
                  <c:v>0.900598560100347</c:v>
                </c:pt>
                <c:pt idx="105">
                  <c:v>0.900598560100347</c:v>
                </c:pt>
                <c:pt idx="106">
                  <c:v>0.900598560100347</c:v>
                </c:pt>
                <c:pt idx="107">
                  <c:v>0.900598560100347</c:v>
                </c:pt>
                <c:pt idx="108">
                  <c:v>0.900598560100347</c:v>
                </c:pt>
                <c:pt idx="109">
                  <c:v>0.900598560100347</c:v>
                </c:pt>
                <c:pt idx="110">
                  <c:v>0.900598560100347</c:v>
                </c:pt>
                <c:pt idx="111">
                  <c:v>0.900598560100347</c:v>
                </c:pt>
                <c:pt idx="112">
                  <c:v>0.900598560100347</c:v>
                </c:pt>
                <c:pt idx="113">
                  <c:v>0.900598560100347</c:v>
                </c:pt>
                <c:pt idx="114">
                  <c:v>0.900598560100347</c:v>
                </c:pt>
                <c:pt idx="115">
                  <c:v>0.900598560100347</c:v>
                </c:pt>
                <c:pt idx="116">
                  <c:v>0.900598560100347</c:v>
                </c:pt>
                <c:pt idx="117">
                  <c:v>0.900598560100347</c:v>
                </c:pt>
                <c:pt idx="118">
                  <c:v>0.900598560100347</c:v>
                </c:pt>
                <c:pt idx="119">
                  <c:v>0.900598560100347</c:v>
                </c:pt>
                <c:pt idx="120">
                  <c:v>0.900598560100347</c:v>
                </c:pt>
                <c:pt idx="121">
                  <c:v>0.900598560100347</c:v>
                </c:pt>
                <c:pt idx="122">
                  <c:v>0.900598560100347</c:v>
                </c:pt>
                <c:pt idx="123">
                  <c:v>0.900598560100347</c:v>
                </c:pt>
                <c:pt idx="124">
                  <c:v>0.900598560100347</c:v>
                </c:pt>
                <c:pt idx="125">
                  <c:v>0.900598560100347</c:v>
                </c:pt>
                <c:pt idx="126">
                  <c:v>0.900598560100347</c:v>
                </c:pt>
                <c:pt idx="127">
                  <c:v>0.900598560100347</c:v>
                </c:pt>
                <c:pt idx="128">
                  <c:v>0.900598560100347</c:v>
                </c:pt>
                <c:pt idx="129">
                  <c:v>0.900598560100347</c:v>
                </c:pt>
                <c:pt idx="130">
                  <c:v>0.900598560100347</c:v>
                </c:pt>
                <c:pt idx="131">
                  <c:v>0.900598560100347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87-46D6-2D4C-A44B-C1F8ED9B08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1024494128"/>
        <c:axId val="1024495856"/>
      </c:barChart>
      <c:lineChart>
        <c:grouping val="standard"/>
        <c:varyColors val="0"/>
        <c:ser>
          <c:idx val="0"/>
          <c:order val="0"/>
          <c:spPr>
            <a:ln w="3810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9"/>
            <c:spPr>
              <a:solidFill>
                <a:schemeClr val="bg1">
                  <a:lumMod val="95000"/>
                </a:schemeClr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'TE All % (m)'!$D$4:$EE$4</c:f>
              <c:numCache>
                <c:formatCode>mm\/yyyy</c:formatCode>
                <c:ptCount val="132"/>
                <c:pt idx="0">
                  <c:v>44927</c:v>
                </c:pt>
                <c:pt idx="1">
                  <c:v>44958</c:v>
                </c:pt>
                <c:pt idx="2">
                  <c:v>44986</c:v>
                </c:pt>
                <c:pt idx="3">
                  <c:v>45017</c:v>
                </c:pt>
                <c:pt idx="4">
                  <c:v>45047</c:v>
                </c:pt>
                <c:pt idx="5">
                  <c:v>45078</c:v>
                </c:pt>
                <c:pt idx="6">
                  <c:v>45108</c:v>
                </c:pt>
                <c:pt idx="7">
                  <c:v>45139</c:v>
                </c:pt>
                <c:pt idx="8">
                  <c:v>45170</c:v>
                </c:pt>
                <c:pt idx="9">
                  <c:v>45200</c:v>
                </c:pt>
                <c:pt idx="10">
                  <c:v>45231</c:v>
                </c:pt>
                <c:pt idx="11">
                  <c:v>45261</c:v>
                </c:pt>
                <c:pt idx="12">
                  <c:v>45292</c:v>
                </c:pt>
                <c:pt idx="13">
                  <c:v>45323</c:v>
                </c:pt>
                <c:pt idx="14">
                  <c:v>45352</c:v>
                </c:pt>
                <c:pt idx="15">
                  <c:v>45383</c:v>
                </c:pt>
                <c:pt idx="16">
                  <c:v>45413</c:v>
                </c:pt>
                <c:pt idx="17">
                  <c:v>45444</c:v>
                </c:pt>
                <c:pt idx="18">
                  <c:v>45474</c:v>
                </c:pt>
                <c:pt idx="19">
                  <c:v>45505</c:v>
                </c:pt>
                <c:pt idx="20">
                  <c:v>45536</c:v>
                </c:pt>
                <c:pt idx="21">
                  <c:v>45566</c:v>
                </c:pt>
                <c:pt idx="22">
                  <c:v>45597</c:v>
                </c:pt>
                <c:pt idx="23">
                  <c:v>45627</c:v>
                </c:pt>
                <c:pt idx="24">
                  <c:v>45658</c:v>
                </c:pt>
                <c:pt idx="25">
                  <c:v>45689</c:v>
                </c:pt>
                <c:pt idx="26">
                  <c:v>45717</c:v>
                </c:pt>
                <c:pt idx="27">
                  <c:v>45748</c:v>
                </c:pt>
                <c:pt idx="28">
                  <c:v>45778</c:v>
                </c:pt>
                <c:pt idx="29">
                  <c:v>45809</c:v>
                </c:pt>
                <c:pt idx="30">
                  <c:v>45839</c:v>
                </c:pt>
                <c:pt idx="31">
                  <c:v>45870</c:v>
                </c:pt>
                <c:pt idx="32">
                  <c:v>45901</c:v>
                </c:pt>
                <c:pt idx="33">
                  <c:v>45931</c:v>
                </c:pt>
                <c:pt idx="34">
                  <c:v>45962</c:v>
                </c:pt>
                <c:pt idx="35">
                  <c:v>45992</c:v>
                </c:pt>
                <c:pt idx="36">
                  <c:v>46023</c:v>
                </c:pt>
                <c:pt idx="37">
                  <c:v>46054</c:v>
                </c:pt>
                <c:pt idx="38">
                  <c:v>46082</c:v>
                </c:pt>
                <c:pt idx="39">
                  <c:v>46113</c:v>
                </c:pt>
                <c:pt idx="40">
                  <c:v>46143</c:v>
                </c:pt>
                <c:pt idx="41">
                  <c:v>46174</c:v>
                </c:pt>
                <c:pt idx="42">
                  <c:v>46204</c:v>
                </c:pt>
                <c:pt idx="43">
                  <c:v>46235</c:v>
                </c:pt>
                <c:pt idx="44">
                  <c:v>46266</c:v>
                </c:pt>
                <c:pt idx="45">
                  <c:v>46296</c:v>
                </c:pt>
                <c:pt idx="46">
                  <c:v>46327</c:v>
                </c:pt>
                <c:pt idx="47">
                  <c:v>46357</c:v>
                </c:pt>
                <c:pt idx="48">
                  <c:v>46388</c:v>
                </c:pt>
                <c:pt idx="49">
                  <c:v>46419</c:v>
                </c:pt>
                <c:pt idx="50">
                  <c:v>46447</c:v>
                </c:pt>
                <c:pt idx="51">
                  <c:v>46478</c:v>
                </c:pt>
                <c:pt idx="52">
                  <c:v>46508</c:v>
                </c:pt>
                <c:pt idx="53">
                  <c:v>46539</c:v>
                </c:pt>
                <c:pt idx="54">
                  <c:v>46569</c:v>
                </c:pt>
                <c:pt idx="55">
                  <c:v>46600</c:v>
                </c:pt>
                <c:pt idx="56">
                  <c:v>46631</c:v>
                </c:pt>
                <c:pt idx="57">
                  <c:v>46661</c:v>
                </c:pt>
                <c:pt idx="58">
                  <c:v>46692</c:v>
                </c:pt>
                <c:pt idx="59">
                  <c:v>46722</c:v>
                </c:pt>
                <c:pt idx="60">
                  <c:v>46753</c:v>
                </c:pt>
                <c:pt idx="61">
                  <c:v>46784</c:v>
                </c:pt>
                <c:pt idx="62">
                  <c:v>46813</c:v>
                </c:pt>
                <c:pt idx="63">
                  <c:v>46844</c:v>
                </c:pt>
                <c:pt idx="64">
                  <c:v>46874</c:v>
                </c:pt>
                <c:pt idx="65">
                  <c:v>46905</c:v>
                </c:pt>
                <c:pt idx="66">
                  <c:v>46935</c:v>
                </c:pt>
                <c:pt idx="67">
                  <c:v>46966</c:v>
                </c:pt>
                <c:pt idx="68">
                  <c:v>46997</c:v>
                </c:pt>
                <c:pt idx="69">
                  <c:v>47027</c:v>
                </c:pt>
                <c:pt idx="70">
                  <c:v>47058</c:v>
                </c:pt>
                <c:pt idx="71">
                  <c:v>47088</c:v>
                </c:pt>
                <c:pt idx="72">
                  <c:v>47119</c:v>
                </c:pt>
                <c:pt idx="73">
                  <c:v>47150</c:v>
                </c:pt>
                <c:pt idx="74">
                  <c:v>47178</c:v>
                </c:pt>
                <c:pt idx="75">
                  <c:v>47209</c:v>
                </c:pt>
                <c:pt idx="76">
                  <c:v>47239</c:v>
                </c:pt>
                <c:pt idx="77">
                  <c:v>47270</c:v>
                </c:pt>
                <c:pt idx="78">
                  <c:v>47300</c:v>
                </c:pt>
                <c:pt idx="79">
                  <c:v>47331</c:v>
                </c:pt>
                <c:pt idx="80">
                  <c:v>47362</c:v>
                </c:pt>
                <c:pt idx="81">
                  <c:v>47392</c:v>
                </c:pt>
                <c:pt idx="82">
                  <c:v>47423</c:v>
                </c:pt>
                <c:pt idx="83">
                  <c:v>47453</c:v>
                </c:pt>
                <c:pt idx="84">
                  <c:v>47484</c:v>
                </c:pt>
                <c:pt idx="85">
                  <c:v>47515</c:v>
                </c:pt>
                <c:pt idx="86">
                  <c:v>47543</c:v>
                </c:pt>
                <c:pt idx="87">
                  <c:v>47574</c:v>
                </c:pt>
                <c:pt idx="88">
                  <c:v>47604</c:v>
                </c:pt>
                <c:pt idx="89">
                  <c:v>47635</c:v>
                </c:pt>
                <c:pt idx="90">
                  <c:v>47665</c:v>
                </c:pt>
                <c:pt idx="91">
                  <c:v>47696</c:v>
                </c:pt>
                <c:pt idx="92">
                  <c:v>47727</c:v>
                </c:pt>
                <c:pt idx="93">
                  <c:v>47757</c:v>
                </c:pt>
                <c:pt idx="94">
                  <c:v>47788</c:v>
                </c:pt>
                <c:pt idx="95">
                  <c:v>47818</c:v>
                </c:pt>
                <c:pt idx="96">
                  <c:v>47849</c:v>
                </c:pt>
                <c:pt idx="97">
                  <c:v>47880</c:v>
                </c:pt>
                <c:pt idx="98">
                  <c:v>47908</c:v>
                </c:pt>
                <c:pt idx="99">
                  <c:v>47939</c:v>
                </c:pt>
                <c:pt idx="100">
                  <c:v>47969</c:v>
                </c:pt>
                <c:pt idx="101">
                  <c:v>48000</c:v>
                </c:pt>
                <c:pt idx="102">
                  <c:v>48030</c:v>
                </c:pt>
                <c:pt idx="103">
                  <c:v>48061</c:v>
                </c:pt>
                <c:pt idx="104">
                  <c:v>48092</c:v>
                </c:pt>
                <c:pt idx="105">
                  <c:v>48122</c:v>
                </c:pt>
                <c:pt idx="106">
                  <c:v>48153</c:v>
                </c:pt>
                <c:pt idx="107">
                  <c:v>48183</c:v>
                </c:pt>
                <c:pt idx="108">
                  <c:v>48214</c:v>
                </c:pt>
                <c:pt idx="109">
                  <c:v>48245</c:v>
                </c:pt>
                <c:pt idx="110">
                  <c:v>48274</c:v>
                </c:pt>
                <c:pt idx="111">
                  <c:v>48305</c:v>
                </c:pt>
                <c:pt idx="112">
                  <c:v>48335</c:v>
                </c:pt>
                <c:pt idx="113">
                  <c:v>48366</c:v>
                </c:pt>
                <c:pt idx="114">
                  <c:v>48396</c:v>
                </c:pt>
                <c:pt idx="115">
                  <c:v>48427</c:v>
                </c:pt>
                <c:pt idx="116">
                  <c:v>48458</c:v>
                </c:pt>
                <c:pt idx="117">
                  <c:v>48488</c:v>
                </c:pt>
                <c:pt idx="118">
                  <c:v>48519</c:v>
                </c:pt>
                <c:pt idx="119">
                  <c:v>48549</c:v>
                </c:pt>
                <c:pt idx="120">
                  <c:v>48580</c:v>
                </c:pt>
                <c:pt idx="121">
                  <c:v>48611</c:v>
                </c:pt>
                <c:pt idx="122">
                  <c:v>48639</c:v>
                </c:pt>
                <c:pt idx="123">
                  <c:v>48670</c:v>
                </c:pt>
                <c:pt idx="124">
                  <c:v>48700</c:v>
                </c:pt>
                <c:pt idx="125">
                  <c:v>48731</c:v>
                </c:pt>
                <c:pt idx="126">
                  <c:v>48761</c:v>
                </c:pt>
                <c:pt idx="127">
                  <c:v>48792</c:v>
                </c:pt>
                <c:pt idx="128">
                  <c:v>48823</c:v>
                </c:pt>
                <c:pt idx="129">
                  <c:v>48853</c:v>
                </c:pt>
                <c:pt idx="130">
                  <c:v>48884</c:v>
                </c:pt>
                <c:pt idx="131">
                  <c:v>48914</c:v>
                </c:pt>
              </c:numCache>
            </c:numRef>
          </c:cat>
          <c:val>
            <c:numRef>
              <c:f>'TE All % (m)'!$D$19:$EE$19</c:f>
              <c:numCache>
                <c:formatCode>0.0%</c:formatCode>
                <c:ptCount val="132"/>
                <c:pt idx="0">
                  <c:v>0.76189276552363494</c:v>
                </c:pt>
                <c:pt idx="1">
                  <c:v>0.76189276552363494</c:v>
                </c:pt>
                <c:pt idx="2">
                  <c:v>0.75805404103456542</c:v>
                </c:pt>
                <c:pt idx="3">
                  <c:v>0.75805404103456542</c:v>
                </c:pt>
                <c:pt idx="4">
                  <c:v>0.760152467557628</c:v>
                </c:pt>
                <c:pt idx="5">
                  <c:v>0.760152467557628</c:v>
                </c:pt>
                <c:pt idx="6">
                  <c:v>0.83412916558402639</c:v>
                </c:pt>
                <c:pt idx="7">
                  <c:v>0.85791971618663621</c:v>
                </c:pt>
                <c:pt idx="8">
                  <c:v>0.85791971618663621</c:v>
                </c:pt>
                <c:pt idx="9">
                  <c:v>0.87666883021989206</c:v>
                </c:pt>
                <c:pt idx="10">
                  <c:v>0.87015466923230411</c:v>
                </c:pt>
                <c:pt idx="11">
                  <c:v>0.87760288685774557</c:v>
                </c:pt>
                <c:pt idx="12">
                  <c:v>0.89164010584433673</c:v>
                </c:pt>
                <c:pt idx="13">
                  <c:v>0.89106988621603878</c:v>
                </c:pt>
                <c:pt idx="14">
                  <c:v>0.89106988621603878</c:v>
                </c:pt>
                <c:pt idx="15">
                  <c:v>0.89518122918157716</c:v>
                </c:pt>
                <c:pt idx="16">
                  <c:v>0.89518122918157716</c:v>
                </c:pt>
                <c:pt idx="17">
                  <c:v>0.89518122918157716</c:v>
                </c:pt>
                <c:pt idx="18">
                  <c:v>0.89932839187784264</c:v>
                </c:pt>
                <c:pt idx="19">
                  <c:v>0.89932839187784264</c:v>
                </c:pt>
                <c:pt idx="20">
                  <c:v>0.89932839187784264</c:v>
                </c:pt>
                <c:pt idx="21">
                  <c:v>0.89932839187784264</c:v>
                </c:pt>
                <c:pt idx="22">
                  <c:v>0.89932839187784264</c:v>
                </c:pt>
                <c:pt idx="23">
                  <c:v>0.89932839187784264</c:v>
                </c:pt>
                <c:pt idx="24">
                  <c:v>0.89932839187784264</c:v>
                </c:pt>
                <c:pt idx="25">
                  <c:v>0.89932839187784264</c:v>
                </c:pt>
                <c:pt idx="26">
                  <c:v>0.89932839187784264</c:v>
                </c:pt>
                <c:pt idx="27">
                  <c:v>0.89932839187784264</c:v>
                </c:pt>
                <c:pt idx="28">
                  <c:v>0.8946501826205</c:v>
                </c:pt>
                <c:pt idx="29">
                  <c:v>0.8946501826205</c:v>
                </c:pt>
                <c:pt idx="30">
                  <c:v>0.8946501826205</c:v>
                </c:pt>
                <c:pt idx="31">
                  <c:v>0.8946501826205</c:v>
                </c:pt>
                <c:pt idx="32">
                  <c:v>0.8946501826205</c:v>
                </c:pt>
                <c:pt idx="33">
                  <c:v>0.8946501826205</c:v>
                </c:pt>
                <c:pt idx="34">
                  <c:v>0.89468066749771458</c:v>
                </c:pt>
                <c:pt idx="35">
                  <c:v>0.89468066749771458</c:v>
                </c:pt>
                <c:pt idx="36">
                  <c:v>0.89468066749771458</c:v>
                </c:pt>
                <c:pt idx="37">
                  <c:v>0.89468066749771458</c:v>
                </c:pt>
                <c:pt idx="38">
                  <c:v>0.89468066749771458</c:v>
                </c:pt>
                <c:pt idx="39">
                  <c:v>0.89468066749771458</c:v>
                </c:pt>
                <c:pt idx="40">
                  <c:v>0.89258224097465189</c:v>
                </c:pt>
                <c:pt idx="41">
                  <c:v>0.89258224097465189</c:v>
                </c:pt>
                <c:pt idx="42">
                  <c:v>0.89050957417283561</c:v>
                </c:pt>
                <c:pt idx="43">
                  <c:v>0.89050957417283561</c:v>
                </c:pt>
                <c:pt idx="44">
                  <c:v>0.89050957417283561</c:v>
                </c:pt>
                <c:pt idx="45">
                  <c:v>0.89050957417283561</c:v>
                </c:pt>
                <c:pt idx="46">
                  <c:v>0.89050957417283561</c:v>
                </c:pt>
                <c:pt idx="47">
                  <c:v>0.89050957417283561</c:v>
                </c:pt>
                <c:pt idx="48">
                  <c:v>0.89698777569198873</c:v>
                </c:pt>
                <c:pt idx="49">
                  <c:v>0.89698777569198873</c:v>
                </c:pt>
                <c:pt idx="50">
                  <c:v>0.89698777569198873</c:v>
                </c:pt>
                <c:pt idx="51">
                  <c:v>0.89698777569198873</c:v>
                </c:pt>
                <c:pt idx="52">
                  <c:v>0.89698777569198873</c:v>
                </c:pt>
                <c:pt idx="53">
                  <c:v>0.89698777569198873</c:v>
                </c:pt>
                <c:pt idx="54">
                  <c:v>0.89698777569198873</c:v>
                </c:pt>
                <c:pt idx="55">
                  <c:v>0.89698777569198873</c:v>
                </c:pt>
                <c:pt idx="56">
                  <c:v>0.84980556910512139</c:v>
                </c:pt>
                <c:pt idx="57">
                  <c:v>0.84980556910512139</c:v>
                </c:pt>
                <c:pt idx="58">
                  <c:v>0.84980556910512139</c:v>
                </c:pt>
                <c:pt idx="59">
                  <c:v>0.84980556910512139</c:v>
                </c:pt>
                <c:pt idx="60">
                  <c:v>0.88348404518333434</c:v>
                </c:pt>
                <c:pt idx="61">
                  <c:v>0.88348404518333434</c:v>
                </c:pt>
                <c:pt idx="62">
                  <c:v>0.88348404518333434</c:v>
                </c:pt>
                <c:pt idx="63">
                  <c:v>0.88348404518333434</c:v>
                </c:pt>
                <c:pt idx="64">
                  <c:v>0.88348404518333434</c:v>
                </c:pt>
                <c:pt idx="65">
                  <c:v>0.88348404518333434</c:v>
                </c:pt>
                <c:pt idx="66">
                  <c:v>0.88348404518333434</c:v>
                </c:pt>
                <c:pt idx="67">
                  <c:v>0.88348404518333434</c:v>
                </c:pt>
                <c:pt idx="68">
                  <c:v>0.88348404518333434</c:v>
                </c:pt>
                <c:pt idx="69">
                  <c:v>0.88348404518333434</c:v>
                </c:pt>
                <c:pt idx="70">
                  <c:v>0.88348404518333434</c:v>
                </c:pt>
                <c:pt idx="71">
                  <c:v>0.88348404518333434</c:v>
                </c:pt>
                <c:pt idx="72">
                  <c:v>0.89542512401265417</c:v>
                </c:pt>
                <c:pt idx="73">
                  <c:v>0.89542512401265417</c:v>
                </c:pt>
                <c:pt idx="74">
                  <c:v>0.89542512401265417</c:v>
                </c:pt>
                <c:pt idx="75">
                  <c:v>0.89104536170324189</c:v>
                </c:pt>
                <c:pt idx="76">
                  <c:v>0.89524206232498094</c:v>
                </c:pt>
                <c:pt idx="77">
                  <c:v>0.89524206232498094</c:v>
                </c:pt>
                <c:pt idx="78">
                  <c:v>0.89938922502124641</c:v>
                </c:pt>
                <c:pt idx="79">
                  <c:v>0.89519252439950736</c:v>
                </c:pt>
                <c:pt idx="80">
                  <c:v>0.89519252439950736</c:v>
                </c:pt>
                <c:pt idx="81">
                  <c:v>0.89309638424223592</c:v>
                </c:pt>
                <c:pt idx="82">
                  <c:v>0.89309638424223592</c:v>
                </c:pt>
                <c:pt idx="83">
                  <c:v>0.89309638424223592</c:v>
                </c:pt>
                <c:pt idx="84">
                  <c:v>0.87700814271665062</c:v>
                </c:pt>
                <c:pt idx="85">
                  <c:v>0.87700814271665062</c:v>
                </c:pt>
                <c:pt idx="86">
                  <c:v>0.87700814271665062</c:v>
                </c:pt>
                <c:pt idx="87">
                  <c:v>0.87700814271665062</c:v>
                </c:pt>
                <c:pt idx="88">
                  <c:v>0.87700814271665062</c:v>
                </c:pt>
                <c:pt idx="89">
                  <c:v>0.87700814271665062</c:v>
                </c:pt>
                <c:pt idx="90">
                  <c:v>0.900598560100347</c:v>
                </c:pt>
                <c:pt idx="91">
                  <c:v>0.900598560100347</c:v>
                </c:pt>
                <c:pt idx="92">
                  <c:v>0.900598560100347</c:v>
                </c:pt>
                <c:pt idx="93">
                  <c:v>0.900598560100347</c:v>
                </c:pt>
                <c:pt idx="94">
                  <c:v>0.900598560100347</c:v>
                </c:pt>
                <c:pt idx="95">
                  <c:v>0.900598560100347</c:v>
                </c:pt>
                <c:pt idx="96">
                  <c:v>0.900598560100347</c:v>
                </c:pt>
                <c:pt idx="97">
                  <c:v>0.900598560100347</c:v>
                </c:pt>
                <c:pt idx="98">
                  <c:v>0.900598560100347</c:v>
                </c:pt>
                <c:pt idx="99">
                  <c:v>0.900598560100347</c:v>
                </c:pt>
                <c:pt idx="100">
                  <c:v>0.900598560100347</c:v>
                </c:pt>
                <c:pt idx="101">
                  <c:v>0.900598560100347</c:v>
                </c:pt>
                <c:pt idx="102">
                  <c:v>0.900598560100347</c:v>
                </c:pt>
                <c:pt idx="103">
                  <c:v>0.900598560100347</c:v>
                </c:pt>
                <c:pt idx="104">
                  <c:v>0.900598560100347</c:v>
                </c:pt>
                <c:pt idx="105">
                  <c:v>0.900598560100347</c:v>
                </c:pt>
                <c:pt idx="106">
                  <c:v>0.900598560100347</c:v>
                </c:pt>
                <c:pt idx="107">
                  <c:v>0.900598560100347</c:v>
                </c:pt>
                <c:pt idx="108">
                  <c:v>0.900598560100347</c:v>
                </c:pt>
                <c:pt idx="109">
                  <c:v>0.900598560100347</c:v>
                </c:pt>
                <c:pt idx="110">
                  <c:v>0.900598560100347</c:v>
                </c:pt>
                <c:pt idx="111">
                  <c:v>0.900598560100347</c:v>
                </c:pt>
                <c:pt idx="112">
                  <c:v>0.900598560100347</c:v>
                </c:pt>
                <c:pt idx="113">
                  <c:v>0.900598560100347</c:v>
                </c:pt>
                <c:pt idx="114">
                  <c:v>0.900598560100347</c:v>
                </c:pt>
                <c:pt idx="115">
                  <c:v>0.900598560100347</c:v>
                </c:pt>
                <c:pt idx="116">
                  <c:v>0.900598560100347</c:v>
                </c:pt>
                <c:pt idx="117">
                  <c:v>0.900598560100347</c:v>
                </c:pt>
                <c:pt idx="118">
                  <c:v>0.900598560100347</c:v>
                </c:pt>
                <c:pt idx="119">
                  <c:v>0.900598560100347</c:v>
                </c:pt>
                <c:pt idx="120">
                  <c:v>0.900598560100347</c:v>
                </c:pt>
                <c:pt idx="121">
                  <c:v>0.900598560100347</c:v>
                </c:pt>
                <c:pt idx="122">
                  <c:v>0.900598560100347</c:v>
                </c:pt>
                <c:pt idx="123">
                  <c:v>0.900598560100347</c:v>
                </c:pt>
                <c:pt idx="124">
                  <c:v>0.900598560100347</c:v>
                </c:pt>
                <c:pt idx="125">
                  <c:v>0.900598560100347</c:v>
                </c:pt>
                <c:pt idx="126">
                  <c:v>0.900598560100347</c:v>
                </c:pt>
                <c:pt idx="127">
                  <c:v>0.900598560100347</c:v>
                </c:pt>
                <c:pt idx="128">
                  <c:v>0.900598560100347</c:v>
                </c:pt>
                <c:pt idx="129">
                  <c:v>0.900598560100347</c:v>
                </c:pt>
                <c:pt idx="130">
                  <c:v>0.900598560100347</c:v>
                </c:pt>
                <c:pt idx="131">
                  <c:v>0.900598560100347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6D6-2D4C-A44B-C1F8ED9B08A9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tx1">
                  <a:lumMod val="35000"/>
                  <a:lumOff val="65000"/>
                </a:schemeClr>
              </a:solidFill>
              <a:round/>
            </a:ln>
            <a:effectLst/>
          </c:spPr>
        </c:dropLines>
        <c:marker val="1"/>
        <c:smooth val="0"/>
        <c:axId val="1024494128"/>
        <c:axId val="1024495856"/>
      </c:lineChart>
      <c:dateAx>
        <c:axId val="1024494128"/>
        <c:scaling>
          <c:orientation val="minMax"/>
        </c:scaling>
        <c:delete val="0"/>
        <c:axPos val="b"/>
        <c:numFmt formatCode="[$-409]mmm/yy;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4495856"/>
        <c:crosses val="autoZero"/>
        <c:auto val="1"/>
        <c:lblOffset val="100"/>
        <c:baseTimeUnit val="months"/>
      </c:dateAx>
      <c:valAx>
        <c:axId val="1024495856"/>
        <c:scaling>
          <c:orientation val="minMax"/>
          <c:max val="0.9"/>
          <c:min val="0.75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50000"/>
                </a:schemeClr>
              </a:solidFill>
              <a:round/>
            </a:ln>
            <a:effectLst/>
          </c:spPr>
        </c:majorGridlines>
        <c:numFmt formatCode="0%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4494128"/>
        <c:crosses val="autoZero"/>
        <c:crossBetween val="between"/>
        <c:majorUnit val="5.0000000000000001E-3"/>
      </c:valAx>
      <c:spPr>
        <a:solidFill>
          <a:schemeClr val="tx1">
            <a:lumMod val="75000"/>
            <a:lumOff val="25000"/>
          </a:schemeClr>
        </a:solidFill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tx1">
        <a:lumMod val="75000"/>
        <a:lumOff val="25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bg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542736</xdr:colOff>
      <xdr:row>3</xdr:row>
      <xdr:rowOff>238803</xdr:rowOff>
    </xdr:from>
    <xdr:to>
      <xdr:col>1</xdr:col>
      <xdr:colOff>151967</xdr:colOff>
      <xdr:row>7</xdr:row>
      <xdr:rowOff>238803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A3763921-4C05-6CC5-5767-F8667111D019}"/>
            </a:ext>
          </a:extLst>
        </xdr:cNvPr>
        <xdr:cNvSpPr txBox="1"/>
      </xdr:nvSpPr>
      <xdr:spPr>
        <a:xfrm rot="16200000">
          <a:off x="226702" y="1227937"/>
          <a:ext cx="1066800" cy="43473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="1">
              <a:latin typeface="Helvetica" pitchFamily="2" charset="0"/>
            </a:rPr>
            <a:t>OFFICE</a:t>
          </a:r>
        </a:p>
      </xdr:txBody>
    </xdr:sp>
    <xdr:clientData/>
  </xdr:twoCellAnchor>
  <xdr:twoCellAnchor>
    <xdr:from>
      <xdr:col>0</xdr:col>
      <xdr:colOff>542736</xdr:colOff>
      <xdr:row>12</xdr:row>
      <xdr:rowOff>238803</xdr:rowOff>
    </xdr:from>
    <xdr:to>
      <xdr:col>1</xdr:col>
      <xdr:colOff>151967</xdr:colOff>
      <xdr:row>16</xdr:row>
      <xdr:rowOff>238803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3F0A07A2-91C8-AB4B-AFDD-144CFD54A727}"/>
            </a:ext>
          </a:extLst>
        </xdr:cNvPr>
        <xdr:cNvSpPr txBox="1"/>
      </xdr:nvSpPr>
      <xdr:spPr>
        <a:xfrm rot="16200000">
          <a:off x="237868" y="1215165"/>
          <a:ext cx="1051035" cy="441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="1">
              <a:latin typeface="Helvetica" pitchFamily="2" charset="0"/>
            </a:rPr>
            <a:t>RETAIL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542736</xdr:colOff>
      <xdr:row>3</xdr:row>
      <xdr:rowOff>238803</xdr:rowOff>
    </xdr:from>
    <xdr:to>
      <xdr:col>1</xdr:col>
      <xdr:colOff>151967</xdr:colOff>
      <xdr:row>7</xdr:row>
      <xdr:rowOff>238803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E3C9BA61-06D3-684F-9F44-A512746E8D07}"/>
            </a:ext>
          </a:extLst>
        </xdr:cNvPr>
        <xdr:cNvSpPr txBox="1"/>
      </xdr:nvSpPr>
      <xdr:spPr>
        <a:xfrm rot="16200000">
          <a:off x="226702" y="1227937"/>
          <a:ext cx="1066800" cy="43473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="1">
              <a:latin typeface="Helvetica" pitchFamily="2" charset="0"/>
            </a:rPr>
            <a:t>OFFICE</a:t>
          </a:r>
        </a:p>
      </xdr:txBody>
    </xdr:sp>
    <xdr:clientData/>
  </xdr:twoCellAnchor>
  <xdr:twoCellAnchor>
    <xdr:from>
      <xdr:col>2</xdr:col>
      <xdr:colOff>185269</xdr:colOff>
      <xdr:row>22</xdr:row>
      <xdr:rowOff>87655</xdr:rowOff>
    </xdr:from>
    <xdr:to>
      <xdr:col>56</xdr:col>
      <xdr:colOff>779824</xdr:colOff>
      <xdr:row>143</xdr:row>
      <xdr:rowOff>133684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A6BA822D-077C-BF98-4BF5-B8C1F39725B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542736</xdr:colOff>
      <xdr:row>12</xdr:row>
      <xdr:rowOff>238803</xdr:rowOff>
    </xdr:from>
    <xdr:to>
      <xdr:col>1</xdr:col>
      <xdr:colOff>151967</xdr:colOff>
      <xdr:row>16</xdr:row>
      <xdr:rowOff>238803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ABD2E5FD-FEBC-ED48-8017-051F4D19B3B8}"/>
            </a:ext>
          </a:extLst>
        </xdr:cNvPr>
        <xdr:cNvSpPr txBox="1"/>
      </xdr:nvSpPr>
      <xdr:spPr>
        <a:xfrm rot="16200000">
          <a:off x="225012" y="1220655"/>
          <a:ext cx="1071927" cy="43647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="1">
              <a:latin typeface="Helvetica" pitchFamily="2" charset="0"/>
            </a:rPr>
            <a:t>RETAIL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705414</xdr:colOff>
      <xdr:row>31</xdr:row>
      <xdr:rowOff>82998</xdr:rowOff>
    </xdr:from>
    <xdr:to>
      <xdr:col>57</xdr:col>
      <xdr:colOff>50800</xdr:colOff>
      <xdr:row>179</xdr:row>
      <xdr:rowOff>76199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F18BE05D-85B1-638D-D3F6-5FA7503210E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127000</xdr:colOff>
      <xdr:row>2</xdr:row>
      <xdr:rowOff>0</xdr:rowOff>
    </xdr:from>
    <xdr:to>
      <xdr:col>0</xdr:col>
      <xdr:colOff>561188</xdr:colOff>
      <xdr:row>6</xdr:row>
      <xdr:rowOff>120270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86768F79-D899-F749-90B6-61A9C2E8A7CD}"/>
            </a:ext>
          </a:extLst>
        </xdr:cNvPr>
        <xdr:cNvSpPr txBox="1"/>
      </xdr:nvSpPr>
      <xdr:spPr>
        <a:xfrm rot="16200000">
          <a:off x="-198641" y="732041"/>
          <a:ext cx="1085470" cy="43418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="1">
              <a:latin typeface="Helvetica" pitchFamily="2" charset="0"/>
            </a:rPr>
            <a:t>SCENARIO 1</a:t>
          </a:r>
        </a:p>
      </xdr:txBody>
    </xdr:sp>
    <xdr:clientData/>
  </xdr:twoCellAnchor>
  <xdr:twoCellAnchor>
    <xdr:from>
      <xdr:col>0</xdr:col>
      <xdr:colOff>127000</xdr:colOff>
      <xdr:row>6</xdr:row>
      <xdr:rowOff>196470</xdr:rowOff>
    </xdr:from>
    <xdr:to>
      <xdr:col>0</xdr:col>
      <xdr:colOff>561188</xdr:colOff>
      <xdr:row>11</xdr:row>
      <xdr:rowOff>113540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D1FAB684-1CFA-0046-B610-574E2CD771AB}"/>
            </a:ext>
          </a:extLst>
        </xdr:cNvPr>
        <xdr:cNvSpPr txBox="1"/>
      </xdr:nvSpPr>
      <xdr:spPr>
        <a:xfrm rot="16200000">
          <a:off x="-198641" y="1893711"/>
          <a:ext cx="1085470" cy="43418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="1">
              <a:latin typeface="Helvetica" pitchFamily="2" charset="0"/>
            </a:rPr>
            <a:t>SCENARIO 2</a:t>
          </a:r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EB90EA2-A127-E547-9D74-1813E6DCC22C}" name="Table2" displayName="Table2" ref="B12:N24" totalsRowCount="1" headerRowDxfId="276" dataDxfId="275" totalsRowDxfId="274" headerRowCellStyle="Comma" dataCellStyle="Comma">
  <autoFilter ref="B12:N23" xr:uid="{0EB90EA2-A127-E547-9D74-1813E6DCC22C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</autoFilter>
  <tableColumns count="13">
    <tableColumn id="1" xr3:uid="{23DA6FCF-5860-0F44-9DF1-11C0318051C4}" name="Products" totalsRowLabel="Total (IDR)" dataDxfId="273" totalsRowDxfId="272"/>
    <tableColumn id="13" xr3:uid="{6FE1231D-5BAB-2D4D-A5D6-C4FC65BF3EAD}" name="2022" totalsRowFunction="sum" dataDxfId="271" totalsRowDxfId="270" dataCellStyle="Comma"/>
    <tableColumn id="12" xr3:uid="{85475C21-3329-2B45-8444-CA94C08A4946}" name="2023" totalsRowFunction="sum" dataDxfId="269" totalsRowDxfId="268" dataCellStyle="Comma"/>
    <tableColumn id="2" xr3:uid="{39720F4C-EDD5-7B48-9B96-FD9488CF7B6F}" name="2024" totalsRowFunction="sum" dataDxfId="267" totalsRowDxfId="266" dataCellStyle="Comma"/>
    <tableColumn id="3" xr3:uid="{0994F7B4-B62D-534F-9417-0249F38ADE67}" name="2025" totalsRowFunction="sum" dataDxfId="265" totalsRowDxfId="264" dataCellStyle="Comma"/>
    <tableColumn id="4" xr3:uid="{BF5E00BE-9F6A-514F-89E9-FCB3BA9FBE7E}" name="2026" totalsRowFunction="sum" dataDxfId="263" totalsRowDxfId="262" dataCellStyle="Comma"/>
    <tableColumn id="5" xr3:uid="{558C3BB7-E01B-4041-A52C-470E15F68511}" name="2027" totalsRowFunction="sum" dataDxfId="261" totalsRowDxfId="260" dataCellStyle="Comma"/>
    <tableColumn id="6" xr3:uid="{F85D5229-9BC7-6441-95EE-D5D053C638B7}" name="2028" totalsRowFunction="sum" dataDxfId="259" totalsRowDxfId="258" dataCellStyle="Comma"/>
    <tableColumn id="7" xr3:uid="{0358E158-5480-1945-AEC6-9C9BE0041972}" name="2029" totalsRowFunction="sum" dataDxfId="257" totalsRowDxfId="256" dataCellStyle="Comma"/>
    <tableColumn id="8" xr3:uid="{AD2569E3-CD58-DB43-9407-E9740AD84292}" name="2030" totalsRowFunction="sum" dataDxfId="255" totalsRowDxfId="254" dataCellStyle="Comma"/>
    <tableColumn id="9" xr3:uid="{7561F271-4CC3-5147-8982-B20E91E439A9}" name="2031" totalsRowFunction="sum" dataDxfId="253" totalsRowDxfId="252" dataCellStyle="Comma"/>
    <tableColumn id="10" xr3:uid="{BECB626F-1389-A74E-BD36-D45CF00BA3A5}" name="2032" totalsRowFunction="sum" dataDxfId="251" totalsRowDxfId="250" dataCellStyle="Comma"/>
    <tableColumn id="11" xr3:uid="{B473C967-9544-AA40-854E-CE88ACD5AB6C}" name="2033" totalsRowFunction="sum" dataDxfId="249" totalsRowDxfId="248" dataCellStyle="Comma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E7C2B9-CC09-1F4C-AA96-318D7B39B804}" name="Table1" displayName="Table1" ref="B3:N6" totalsRowShown="0" headerRowDxfId="247" tableBorderDxfId="246" headerRowCellStyle="Comma">
  <autoFilter ref="B3:N6" xr:uid="{E1E7C2B9-CC09-1F4C-AA96-318D7B39B804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</autoFilter>
  <tableColumns count="13">
    <tableColumn id="1" xr3:uid="{D8CEC505-5A9A-C44C-8790-B14B27FBB7FB}" name="Property" dataDxfId="245"/>
    <tableColumn id="13" xr3:uid="{6494F86F-AA18-1546-B309-B75D30475B2C}" name="2022" dataDxfId="244"/>
    <tableColumn id="2" xr3:uid="{9ABCC90A-BD0D-A541-B580-DF5852DC5A91}" name="2023" dataDxfId="243">
      <calculatedColumnFormula>'TE All % (y)'!D19</calculatedColumnFormula>
    </tableColumn>
    <tableColumn id="3" xr3:uid="{EAA55AE6-2F81-4942-B521-BE73C06C24C2}" name="2024"/>
    <tableColumn id="4" xr3:uid="{15467A5D-46B5-1C48-9EDA-1FE519034F37}" name="2025"/>
    <tableColumn id="5" xr3:uid="{663F58AD-1408-8D4C-ACFC-FBB7B248AAD4}" name="2026"/>
    <tableColumn id="6" xr3:uid="{FDF7180F-ABB0-9E4E-85FC-20C3CFEC9AF8}" name="2027"/>
    <tableColumn id="7" xr3:uid="{1F58A400-5A6E-5148-834D-FA92A7883218}" name="2028"/>
    <tableColumn id="8" xr3:uid="{62C6EAB4-93B5-DD49-81E9-122F943B3B01}" name="2029"/>
    <tableColumn id="9" xr3:uid="{7707028A-249E-8340-B080-AA47207986B1}" name="2030"/>
    <tableColumn id="10" xr3:uid="{B7457668-C061-FC45-9700-A28A5DF9C3CC}" name="2031"/>
    <tableColumn id="11" xr3:uid="{3E833AA7-121B-0940-BBEB-C0BBAAA3E690}" name="2032"/>
    <tableColumn id="12" xr3:uid="{20619638-82FE-6A4F-8999-FA5B9C3D7F0B}" name="2033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E727DF7-F97B-9146-82F5-0C89D01DB7D2}" name="Table367" displayName="Table367" ref="B3:Q5" headerRowDxfId="242" dataDxfId="241" totalsRowDxfId="240" dataCellStyle="Comma">
  <autoFilter ref="B3:Q5" xr:uid="{AC3ABCF1-FE08-0748-954C-3FA531C01C9E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99F340BB-11FC-2C48-B69C-142164A888EA}" name="Produk" totalsRowLabel="Total" dataDxfId="239"/>
    <tableColumn id="2" xr3:uid="{2B1CCD52-0B57-AE43-9C86-45DD61C25858}" name="2019" totalsRowFunction="sum" dataDxfId="238" dataCellStyle="Comma">
      <calculatedColumnFormula>$C$13</calculatedColumnFormula>
    </tableColumn>
    <tableColumn id="3" xr3:uid="{B3959DCD-8B88-6743-B7BD-90FB273FDD75}" name="2020" totalsRowFunction="sum" dataDxfId="237" totalsRowDxfId="236" dataCellStyle="Comma">
      <calculatedColumnFormula>$C$13</calculatedColumnFormula>
    </tableColumn>
    <tableColumn id="4" xr3:uid="{5C2B67C1-E6FB-C342-8D11-D84155D57722}" name="2021" totalsRowFunction="sum" dataDxfId="235" totalsRowDxfId="234" dataCellStyle="Comma">
      <calculatedColumnFormula>$C$13</calculatedColumnFormula>
    </tableColumn>
    <tableColumn id="5" xr3:uid="{BD4B3AD5-EF20-2E41-AAE9-C449FBE6EBED}" name="2022" totalsRowFunction="sum" dataDxfId="233" totalsRowDxfId="232" dataCellStyle="Comma">
      <calculatedColumnFormula>$C$13</calculatedColumnFormula>
    </tableColumn>
    <tableColumn id="6" xr3:uid="{0BCB1F53-3AFA-9248-B92C-FD192EA39765}" name="2023" totalsRowFunction="sum" dataDxfId="231" dataCellStyle="Comma">
      <calculatedColumnFormula>$C$17</calculatedColumnFormula>
    </tableColumn>
    <tableColumn id="7" xr3:uid="{619BD53B-7FEB-E244-8BE1-662D18A71EC8}" name="2024" dataDxfId="230" totalsRowDxfId="229" dataCellStyle="Comma">
      <calculatedColumnFormula>$C$17</calculatedColumnFormula>
    </tableColumn>
    <tableColumn id="8" xr3:uid="{C2DAE3E4-F421-2646-9C3B-D49B961BFAE8}" name="2025" dataDxfId="228" totalsRowDxfId="227" dataCellStyle="Comma">
      <calculatedColumnFormula>$C$17</calculatedColumnFormula>
    </tableColumn>
    <tableColumn id="9" xr3:uid="{86937C3C-E018-DD45-AC99-F0436F21D37E}" name="2026" dataDxfId="226" totalsRowDxfId="225" dataCellStyle="Comma">
      <calculatedColumnFormula>$C$17</calculatedColumnFormula>
    </tableColumn>
    <tableColumn id="10" xr3:uid="{0ED2701F-7272-7F4F-BDAC-5A0B36F34735}" name="2027" dataDxfId="224" totalsRowDxfId="223" dataCellStyle="Comma">
      <calculatedColumnFormula>$C$17</calculatedColumnFormula>
    </tableColumn>
    <tableColumn id="11" xr3:uid="{924953E8-0B08-084C-88A4-2E9D4ED12687}" name="2028" dataDxfId="222" totalsRowDxfId="221" dataCellStyle="Comma">
      <calculatedColumnFormula>$C$17</calculatedColumnFormula>
    </tableColumn>
    <tableColumn id="12" xr3:uid="{CEC3F315-2D2D-2E49-86D2-AC75553FF7CC}" name="2029" dataDxfId="220" totalsRowDxfId="219" dataCellStyle="Comma">
      <calculatedColumnFormula>$C$17</calculatedColumnFormula>
    </tableColumn>
    <tableColumn id="13" xr3:uid="{3E32D8D0-438C-544C-AE07-B7766903BA6C}" name="2030" dataDxfId="218" totalsRowDxfId="217" dataCellStyle="Comma">
      <calculatedColumnFormula>$C$17</calculatedColumnFormula>
    </tableColumn>
    <tableColumn id="14" xr3:uid="{253B6EAB-1714-D944-9EC6-E76956CEEA2E}" name="2031" dataDxfId="216" totalsRowDxfId="215" dataCellStyle="Comma">
      <calculatedColumnFormula>$C$17</calculatedColumnFormula>
    </tableColumn>
    <tableColumn id="15" xr3:uid="{5944E335-1D68-4F4D-9F09-0FF522318C19}" name="2032" dataDxfId="214" totalsRowDxfId="213" dataCellStyle="Comma">
      <calculatedColumnFormula>$C$17</calculatedColumnFormula>
    </tableColumn>
    <tableColumn id="16" xr3:uid="{FB81225F-568D-F240-B96D-077B2CE657C7}" name="2033" dataDxfId="212" totalsRowDxfId="211" dataCellStyle="Comma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A3C4A74E-3C42-A747-9006-8829BF142A68}" name="Table36712" displayName="Table36712" ref="B3:Q5" headerRowDxfId="210" dataDxfId="209" totalsRowDxfId="208" dataCellStyle="Comma">
  <autoFilter ref="B3:Q5" xr:uid="{AC3ABCF1-FE08-0748-954C-3FA531C01C9E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1BFD87E0-307E-A346-9C12-D59589250C88}" name="Produk" totalsRowLabel="Total" dataDxfId="207"/>
    <tableColumn id="2" xr3:uid="{968525AF-9A75-2E44-BD06-AB6B9951BB35}" name="2019" totalsRowFunction="sum" dataDxfId="206" totalsRowDxfId="205" dataCellStyle="Comma">
      <calculatedColumnFormula>#REF!</calculatedColumnFormula>
    </tableColumn>
    <tableColumn id="3" xr3:uid="{77B1E53B-BEFB-A94B-B3A4-961E7F2EDB56}" name="2020" totalsRowFunction="sum" dataDxfId="204" totalsRowDxfId="203" dataCellStyle="Comma">
      <calculatedColumnFormula>#REF!</calculatedColumnFormula>
    </tableColumn>
    <tableColumn id="4" xr3:uid="{96632A6A-B9AD-F349-B2A8-AF5BB8455E0D}" name="2021" totalsRowFunction="sum" dataDxfId="202" totalsRowDxfId="201" dataCellStyle="Comma">
      <calculatedColumnFormula>#REF!</calculatedColumnFormula>
    </tableColumn>
    <tableColumn id="5" xr3:uid="{FF7AB7B8-0072-BC40-AF54-9293570E7C76}" name="2022" totalsRowFunction="sum" dataDxfId="200" totalsRowDxfId="199" dataCellStyle="Comma">
      <calculatedColumnFormula>#REF!</calculatedColumnFormula>
    </tableColumn>
    <tableColumn id="6" xr3:uid="{5DD61822-2AB9-3149-BF22-B919056AABCB}" name="2023" totalsRowFunction="sum" dataDxfId="198" dataCellStyle="Comma">
      <calculatedColumnFormula>#REF!</calculatedColumnFormula>
    </tableColumn>
    <tableColumn id="7" xr3:uid="{3773122B-9B13-084F-B2AF-167F2BD53E5E}" name="2024" dataDxfId="197" totalsRowDxfId="196" dataCellStyle="Comma">
      <calculatedColumnFormula>#REF!</calculatedColumnFormula>
    </tableColumn>
    <tableColumn id="8" xr3:uid="{E69D5601-AC96-A14E-920B-763C0145CB77}" name="2025" dataDxfId="195" totalsRowDxfId="194" dataCellStyle="Comma">
      <calculatedColumnFormula>#REF!</calculatedColumnFormula>
    </tableColumn>
    <tableColumn id="9" xr3:uid="{18DB03C9-598D-F249-B274-D3EF93826CC5}" name="2026" dataDxfId="193" totalsRowDxfId="192" dataCellStyle="Comma">
      <calculatedColumnFormula>#REF!</calculatedColumnFormula>
    </tableColumn>
    <tableColumn id="10" xr3:uid="{8D797980-B65E-A648-AA40-32BC96023834}" name="2027" dataDxfId="191" totalsRowDxfId="190" dataCellStyle="Comma">
      <calculatedColumnFormula>#REF!</calculatedColumnFormula>
    </tableColumn>
    <tableColumn id="11" xr3:uid="{851A9367-4BAD-9E48-BC90-556E33B13381}" name="2028" dataDxfId="189" totalsRowDxfId="188" dataCellStyle="Comma">
      <calculatedColumnFormula>#REF!</calculatedColumnFormula>
    </tableColumn>
    <tableColumn id="12" xr3:uid="{8FF7E486-9DA2-624E-BE69-F34407DB907C}" name="2029" dataDxfId="187" totalsRowDxfId="186" dataCellStyle="Comma">
      <calculatedColumnFormula>#REF!</calculatedColumnFormula>
    </tableColumn>
    <tableColumn id="13" xr3:uid="{10581223-ACA5-C44A-93A3-C7BB88D90041}" name="2030" dataDxfId="185" totalsRowDxfId="184" dataCellStyle="Comma">
      <calculatedColumnFormula>#REF!</calculatedColumnFormula>
    </tableColumn>
    <tableColumn id="14" xr3:uid="{FD519FB0-316F-794B-B2D5-6EC639574CCC}" name="2031" dataDxfId="183" totalsRowDxfId="182" dataCellStyle="Comma">
      <calculatedColumnFormula>#REF!</calculatedColumnFormula>
    </tableColumn>
    <tableColumn id="15" xr3:uid="{EF1B48BD-4B23-C048-984F-969A36EC6CE1}" name="2032" dataDxfId="181" totalsRowDxfId="180" dataCellStyle="Comma">
      <calculatedColumnFormula>#REF!</calculatedColumnFormula>
    </tableColumn>
    <tableColumn id="16" xr3:uid="{2A6D7BE6-2128-8F44-9E67-0721563F248F}" name="2033" dataDxfId="179" totalsRowDxfId="178" dataCellStyle="Comma"/>
  </tableColumns>
  <tableStyleInfo name="TableStyleLight8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E6BE8819-74EF-0243-83D9-EC696A1D351F}" name="Table3671213" displayName="Table3671213" ref="B8:Q10" headerRowDxfId="177" dataDxfId="176" totalsRowDxfId="175" dataCellStyle="Comma">
  <autoFilter ref="B8:Q10" xr:uid="{E6BE8819-74EF-0243-83D9-EC696A1D351F}"/>
  <tableColumns count="16">
    <tableColumn id="1" xr3:uid="{D0D2885A-4D5E-4E46-B852-6808DA59D313}" name="Produk" totalsRowLabel="Total" dataDxfId="174"/>
    <tableColumn id="2" xr3:uid="{1CB01F6E-B1ED-D64D-B0BD-23E3E53023F6}" name="2019" totalsRowFunction="sum" dataDxfId="173" totalsRowDxfId="172" dataCellStyle="Comma">
      <calculatedColumnFormula>#REF!</calculatedColumnFormula>
    </tableColumn>
    <tableColumn id="3" xr3:uid="{DCB192C3-91DC-3E45-AEC4-E3D2C137A2D5}" name="2020" totalsRowFunction="sum" dataDxfId="171" totalsRowDxfId="170" dataCellStyle="Comma">
      <calculatedColumnFormula>#REF!</calculatedColumnFormula>
    </tableColumn>
    <tableColumn id="4" xr3:uid="{E6C180DE-2772-2441-93FB-B7588E5B6492}" name="2021" totalsRowFunction="sum" dataDxfId="169" totalsRowDxfId="168" dataCellStyle="Comma">
      <calculatedColumnFormula>#REF!</calculatedColumnFormula>
    </tableColumn>
    <tableColumn id="5" xr3:uid="{469CD3CF-6462-744C-8BAC-E6F03647D632}" name="2022" totalsRowFunction="sum" dataDxfId="167" totalsRowDxfId="166" dataCellStyle="Comma">
      <calculatedColumnFormula>#REF!</calculatedColumnFormula>
    </tableColumn>
    <tableColumn id="6" xr3:uid="{7F9C2994-4595-BC48-95E7-29BC35B73576}" name="2023" totalsRowFunction="sum" dataDxfId="165" dataCellStyle="Comma">
      <calculatedColumnFormula>#REF!</calculatedColumnFormula>
    </tableColumn>
    <tableColumn id="7" xr3:uid="{8B6255D9-4CA7-434B-A5E8-FBACB2C83FDD}" name="2024" dataDxfId="164" totalsRowDxfId="163" dataCellStyle="Comma">
      <calculatedColumnFormula>#REF!</calculatedColumnFormula>
    </tableColumn>
    <tableColumn id="8" xr3:uid="{F160CBDA-6556-D34B-AFEF-9A4DA3F946CA}" name="2025" dataDxfId="162" totalsRowDxfId="161" dataCellStyle="Comma">
      <calculatedColumnFormula>#REF!</calculatedColumnFormula>
    </tableColumn>
    <tableColumn id="9" xr3:uid="{79196D24-F3A6-5F45-ACB0-1B5911C1DAA0}" name="2026" dataDxfId="160" totalsRowDxfId="159" dataCellStyle="Comma">
      <calculatedColumnFormula>#REF!</calculatedColumnFormula>
    </tableColumn>
    <tableColumn id="10" xr3:uid="{3A202091-9A8A-F349-AFAC-D3575E626EFF}" name="2027" dataDxfId="158" totalsRowDxfId="157" dataCellStyle="Comma">
      <calculatedColumnFormula>#REF!</calculatedColumnFormula>
    </tableColumn>
    <tableColumn id="11" xr3:uid="{43710266-79F5-7448-ACB8-EA6AF60CF213}" name="2028" dataDxfId="156" totalsRowDxfId="155" dataCellStyle="Comma">
      <calculatedColumnFormula>#REF!</calculatedColumnFormula>
    </tableColumn>
    <tableColumn id="12" xr3:uid="{4D0F16A8-89B3-9941-B93B-FECD100FF689}" name="2029" dataDxfId="154" totalsRowDxfId="153" dataCellStyle="Comma">
      <calculatedColumnFormula>#REF!</calculatedColumnFormula>
    </tableColumn>
    <tableColumn id="13" xr3:uid="{6D5B7FE3-4080-6944-BA37-48AE65C1E6B7}" name="2030" dataDxfId="152" totalsRowDxfId="151" dataCellStyle="Comma">
      <calculatedColumnFormula>#REF!</calculatedColumnFormula>
    </tableColumn>
    <tableColumn id="14" xr3:uid="{53FC9BDF-6F34-4444-9FB2-388FA7A90D9D}" name="2031" dataDxfId="150" totalsRowDxfId="149" dataCellStyle="Comma">
      <calculatedColumnFormula>#REF!</calculatedColumnFormula>
    </tableColumn>
    <tableColumn id="15" xr3:uid="{761F26F3-7DA1-C04C-836A-10D25F8EBECB}" name="2032" dataDxfId="148" totalsRowDxfId="147" dataCellStyle="Comma">
      <calculatedColumnFormula>#REF!</calculatedColumnFormula>
    </tableColumn>
    <tableColumn id="16" xr3:uid="{5CF97722-DBE3-0540-9442-2755B648C6C5}" name="2033" dataDxfId="146" totalsRowDxfId="145" dataCellStyle="Comma"/>
  </tableColumns>
  <tableStyleInfo name="TableStyleLight8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3F473109-AB90-2849-8845-1716835FF166}" name="Table36710" displayName="Table36710" ref="B3:Q5" headerRowDxfId="144" dataDxfId="143" totalsRowDxfId="142" dataCellStyle="Comma">
  <autoFilter ref="B3:Q5" xr:uid="{AC3ABCF1-FE08-0748-954C-3FA531C01C9E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6430FCAC-20A0-D747-85F5-8F09948DD449}" name="Produk" totalsRowLabel="Total" dataDxfId="141"/>
    <tableColumn id="2" xr3:uid="{BF9FD117-9D89-6545-A8DD-0203102DDDAC}" name="2019" totalsRowFunction="sum" dataDxfId="140" totalsRowDxfId="139" dataCellStyle="Comma">
      <calculatedColumnFormula>#REF!</calculatedColumnFormula>
    </tableColumn>
    <tableColumn id="3" xr3:uid="{2818C4A9-7E04-0B46-95F9-DE5A3B3080A5}" name="2020" totalsRowFunction="sum" dataDxfId="138" totalsRowDxfId="137" dataCellStyle="Comma">
      <calculatedColumnFormula>#REF!</calculatedColumnFormula>
    </tableColumn>
    <tableColumn id="4" xr3:uid="{CA0DEA62-D652-F241-9090-9124BB9D4F97}" name="2021" totalsRowFunction="sum" dataDxfId="136" totalsRowDxfId="135" dataCellStyle="Comma">
      <calculatedColumnFormula>#REF!</calculatedColumnFormula>
    </tableColumn>
    <tableColumn id="5" xr3:uid="{B4FF4845-3D08-7646-9D46-E1C192E017C8}" name="2022" totalsRowFunction="sum" dataDxfId="134" totalsRowDxfId="133" dataCellStyle="Comma">
      <calculatedColumnFormula>#REF!</calculatedColumnFormula>
    </tableColumn>
    <tableColumn id="6" xr3:uid="{F37F8168-78DB-294A-BE79-CEFAF8321122}" name="2023" totalsRowFunction="sum" dataDxfId="132" dataCellStyle="Comma">
      <calculatedColumnFormula>#REF!</calculatedColumnFormula>
    </tableColumn>
    <tableColumn id="7" xr3:uid="{313A481D-E690-5E40-9356-32C8A89361D8}" name="2024" dataDxfId="131" totalsRowDxfId="130" dataCellStyle="Comma">
      <calculatedColumnFormula>#REF!</calculatedColumnFormula>
    </tableColumn>
    <tableColumn id="8" xr3:uid="{BEDFD046-BF60-8547-8C20-D084BA6D3A8F}" name="2025" dataDxfId="129" totalsRowDxfId="128" dataCellStyle="Comma">
      <calculatedColumnFormula>#REF!</calculatedColumnFormula>
    </tableColumn>
    <tableColumn id="9" xr3:uid="{93344613-7617-C24D-8D5D-C6205EDB39C0}" name="2026" dataDxfId="127" totalsRowDxfId="126" dataCellStyle="Comma">
      <calculatedColumnFormula>#REF!</calculatedColumnFormula>
    </tableColumn>
    <tableColumn id="10" xr3:uid="{A1141682-AB8B-4045-93AA-7AF20DD95FCF}" name="2027" dataDxfId="125" totalsRowDxfId="124" dataCellStyle="Comma">
      <calculatedColumnFormula>#REF!</calculatedColumnFormula>
    </tableColumn>
    <tableColumn id="11" xr3:uid="{848922CD-D37A-784E-B406-FF7DB6A3FFD9}" name="2028" dataDxfId="123" totalsRowDxfId="122" dataCellStyle="Comma">
      <calculatedColumnFormula>#REF!</calculatedColumnFormula>
    </tableColumn>
    <tableColumn id="12" xr3:uid="{D6840AD2-CB80-424A-9FC0-F598D076488C}" name="2029" dataDxfId="121" totalsRowDxfId="120" dataCellStyle="Comma">
      <calculatedColumnFormula>#REF!</calculatedColumnFormula>
    </tableColumn>
    <tableColumn id="13" xr3:uid="{3FC5F7F1-EFBB-6B42-B020-BD479DDEF54C}" name="2030" dataDxfId="119" totalsRowDxfId="118" dataCellStyle="Comma">
      <calculatedColumnFormula>#REF!</calculatedColumnFormula>
    </tableColumn>
    <tableColumn id="14" xr3:uid="{59B3D745-E99A-C048-91B4-C30EE30FE030}" name="2031" dataDxfId="117" totalsRowDxfId="116" dataCellStyle="Comma">
      <calculatedColumnFormula>#REF!</calculatedColumnFormula>
    </tableColumn>
    <tableColumn id="15" xr3:uid="{E7C7A760-9A50-EF4E-9F9A-04F5939B53B3}" name="2032" dataDxfId="115" totalsRowDxfId="114" dataCellStyle="Comma">
      <calculatedColumnFormula>#REF!</calculatedColumnFormula>
    </tableColumn>
    <tableColumn id="16" xr3:uid="{BB944AC7-D8FD-F44F-9A54-61CD5925B893}" name="2033" dataDxfId="113" totalsRowDxfId="112" dataCellStyle="Comma"/>
  </tableColumns>
  <tableStyleInfo name="TableStyleLight8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7DA54A82-C2E5-B541-9D4B-BF73A230D23A}" name="Table3611" displayName="Table3611" ref="B3:Q4" headerRowDxfId="111" dataDxfId="110" totalsRowDxfId="109" dataCellStyle="Comma">
  <autoFilter ref="B3:Q4" xr:uid="{AC3ABCF1-FE08-0748-954C-3FA531C01C9E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59F1D652-01FC-0F4F-B272-7895E29F4F03}" name="Produk" totalsRowLabel="Total" dataDxfId="108"/>
    <tableColumn id="2" xr3:uid="{08CE3CF1-1B39-4846-BE33-C2A5784FB62D}" name="2019" totalsRowFunction="sum" dataDxfId="107" totalsRowDxfId="106" dataCellStyle="Comma"/>
    <tableColumn id="3" xr3:uid="{85236793-50D2-D54E-A534-4254DEB1D2D7}" name="2020" totalsRowFunction="sum" dataDxfId="105" totalsRowDxfId="104" dataCellStyle="Comma"/>
    <tableColumn id="4" xr3:uid="{FBEC9341-E781-D24B-ADBB-A77C3BB18355}" name="2021" totalsRowFunction="sum" dataDxfId="103" totalsRowDxfId="102" dataCellStyle="Comma"/>
    <tableColumn id="5" xr3:uid="{CA8FED96-A39B-C043-B712-459E64932898}" name="2022" totalsRowFunction="sum" dataDxfId="101" totalsRowDxfId="100" dataCellStyle="Comma"/>
    <tableColumn id="6" xr3:uid="{934C9A3F-09D1-D949-8697-6F1984F16923}" name="2023" totalsRowFunction="sum" dataDxfId="99" totalsRowDxfId="98" dataCellStyle="Comma">
      <calculatedColumnFormula>16399663023.4286+1300000000</calculatedColumnFormula>
    </tableColumn>
    <tableColumn id="7" xr3:uid="{6E7A1926-4114-EC40-A97D-34D711EAA9F4}" name="2024" dataDxfId="97" totalsRowDxfId="96" dataCellStyle="Comma">
      <calculatedColumnFormula>H2/G2*Table3611[[#This Row],[2023]]</calculatedColumnFormula>
    </tableColumn>
    <tableColumn id="8" xr3:uid="{CB8056CE-148B-394E-8CB1-391584E96A6C}" name="2025" dataDxfId="95" totalsRowDxfId="94" dataCellStyle="Comma">
      <calculatedColumnFormula>I2/H2*Table3611[[#This Row],[2024]]</calculatedColumnFormula>
    </tableColumn>
    <tableColumn id="9" xr3:uid="{A5829AFD-8A22-B04A-8BF1-E0CCCD039E28}" name="2026" dataDxfId="93" totalsRowDxfId="92" dataCellStyle="Comma">
      <calculatedColumnFormula>J2/I2*Table3611[[#This Row],[2025]]</calculatedColumnFormula>
    </tableColumn>
    <tableColumn id="10" xr3:uid="{2ACA2970-E81D-1F45-AE37-54F667D0284F}" name="2027" dataDxfId="91" totalsRowDxfId="90" dataCellStyle="Comma">
      <calculatedColumnFormula>K2/J2*Table3611[[#This Row],[2026]]</calculatedColumnFormula>
    </tableColumn>
    <tableColumn id="11" xr3:uid="{CC883C95-2409-E34C-94F1-1D5F5E45D831}" name="2028" dataDxfId="89" totalsRowDxfId="88" dataCellStyle="Comma">
      <calculatedColumnFormula>L2/K2*Table3611[[#This Row],[2027]]</calculatedColumnFormula>
    </tableColumn>
    <tableColumn id="12" xr3:uid="{6CD99A63-A99C-FB4C-8324-FBC4FA96BFD4}" name="2029" dataDxfId="87" totalsRowDxfId="86" dataCellStyle="Comma">
      <calculatedColumnFormula>M2/L2*Table3611[[#This Row],[2028]]</calculatedColumnFormula>
    </tableColumn>
    <tableColumn id="13" xr3:uid="{1B7BECCD-BCAD-084B-B4A0-FB3557195578}" name="2030" dataDxfId="85" totalsRowDxfId="84" dataCellStyle="Comma">
      <calculatedColumnFormula>N2/M2*Table3611[[#This Row],[2029]]</calculatedColumnFormula>
    </tableColumn>
    <tableColumn id="14" xr3:uid="{6411F98D-5E1F-8B41-ADCF-17ED8E7CB241}" name="2031" dataDxfId="83" totalsRowDxfId="82" dataCellStyle="Comma">
      <calculatedColumnFormula>O2/N2*Table3611[[#This Row],[2030]]</calculatedColumnFormula>
    </tableColumn>
    <tableColumn id="15" xr3:uid="{3471155D-55DD-7F4A-9453-F719665D66DB}" name="2032" dataDxfId="81" totalsRowDxfId="80" dataCellStyle="Comma">
      <calculatedColumnFormula>P2/O2*Table3611[[#This Row],[2031]]</calculatedColumnFormula>
    </tableColumn>
    <tableColumn id="16" xr3:uid="{E59E3731-17F4-EE48-8C8C-D2C001D86B4F}" name="2033" dataDxfId="79" totalsRowDxfId="78" dataCellStyle="Comma">
      <calculatedColumnFormula>Q2/P2*Table3611[[#This Row],[2032]]</calculatedColumnFormula>
    </tableColumn>
  </tableColumns>
  <tableStyleInfo name="TableStyleLight8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8383E0A3-1FC4-0F43-9C31-8186236D996E}" name="Table714" displayName="Table714" ref="G8:H9" totalsRowShown="0" headerRowDxfId="77" dataDxfId="76">
  <autoFilter ref="G8:H9" xr:uid="{E812B4D9-0275-0B41-9591-9D0DF8BF194E}">
    <filterColumn colId="0" hiddenButton="1"/>
    <filterColumn colId="1" hiddenButton="1"/>
  </autoFilter>
  <tableColumns count="2">
    <tableColumn id="1" xr3:uid="{B35CAC1C-F027-AC48-8735-A12C28CE2FEE}" name="2.35%" dataDxfId="75">
      <calculatedColumnFormula array="1">Table3611[2023]-Table3611[2022]</calculatedColumnFormula>
    </tableColumn>
    <tableColumn id="2" xr3:uid="{37ACC41F-0E42-FE47-BF4D-8C74C0B1771F}" name="1%" dataDxfId="74">
      <calculatedColumnFormula>G9/(G8*100)</calculatedColumnFormula>
    </tableColumn>
  </tableColumns>
  <tableStyleInfo name="TableStyleLight8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A0280A8-10F6-B84E-AFAB-5A8BAB02AAF6}" name="Table3" displayName="Table3" ref="B3:Q10" totalsRowCount="1" headerRowDxfId="73" dataDxfId="72" totalsRowDxfId="71" dataCellStyle="Comma">
  <autoFilter ref="B3:Q9" xr:uid="{AA0280A8-10F6-B84E-AFAB-5A8BAB02AAF6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B434975C-754F-5441-8944-9D99F067F04D}" name="Produk" totalsRowLabel="Total" dataDxfId="70" totalsRowDxfId="69"/>
    <tableColumn id="15" xr3:uid="{8E5BD366-1155-CE49-BBB4-3F27339B0B75}" name="2019" dataDxfId="68" totalsRowDxfId="67"/>
    <tableColumn id="14" xr3:uid="{FB0FC5E1-B965-6742-807F-7E3890DBDC3F}" name="2020" dataDxfId="66" totalsRowDxfId="65"/>
    <tableColumn id="13" xr3:uid="{794A7C86-2D33-554F-9012-765C40A5C94A}" name="2021" dataDxfId="64" totalsRowDxfId="63"/>
    <tableColumn id="2" xr3:uid="{72BB7C90-7123-8548-AD32-67D10EFB4941}" name="2022" totalsRowFunction="sum" dataDxfId="62" totalsRowDxfId="61" dataCellStyle="Comma"/>
    <tableColumn id="3" xr3:uid="{D1916A1A-7235-5944-952D-C5B2D3DDE06E}" name="2023" totalsRowFunction="sum" dataDxfId="60" totalsRowDxfId="59" dataCellStyle="Comma"/>
    <tableColumn id="4" xr3:uid="{DCCF41AD-21FF-E24A-BBC9-25283DF564ED}" name="2024" totalsRowFunction="sum" dataDxfId="58" totalsRowDxfId="57" dataCellStyle="Comma"/>
    <tableColumn id="5" xr3:uid="{2D2438E8-19A3-DC49-8708-643DF91EF6CA}" name="2025" totalsRowFunction="sum" dataDxfId="56" totalsRowDxfId="55" dataCellStyle="Comma"/>
    <tableColumn id="6" xr3:uid="{D2DA396E-5667-2944-A522-E55C0615C95B}" name="2026" totalsRowFunction="sum" dataDxfId="54" totalsRowDxfId="53" dataCellStyle="Comma"/>
    <tableColumn id="7" xr3:uid="{EDE1AE77-74CD-4C4A-AB30-33B40B187F4D}" name="2027" totalsRowFunction="custom" dataDxfId="52" totalsRowDxfId="51" dataCellStyle="Comma">
      <totalsRowFormula>Table3[[#Totals],[2026]]+K12</totalsRowFormula>
    </tableColumn>
    <tableColumn id="8" xr3:uid="{E3A4E7A4-9B95-9C45-AD94-5E313CD83314}" name="2028" totalsRowFunction="custom" dataDxfId="50" totalsRowDxfId="49" dataCellStyle="Comma">
      <totalsRowFormula>Table3[[#Totals],[2027]]+L12</totalsRowFormula>
    </tableColumn>
    <tableColumn id="9" xr3:uid="{5396A41B-238E-934A-B88C-05665FF32EAB}" name="2029" totalsRowFunction="custom" dataDxfId="48" totalsRowDxfId="47" dataCellStyle="Comma">
      <totalsRowFormula>Table3[[#Totals],[2028]]+M12</totalsRowFormula>
    </tableColumn>
    <tableColumn id="10" xr3:uid="{4B95DC7B-03C0-554B-8874-CA493F12F898}" name="2030" totalsRowFunction="custom" dataDxfId="46" totalsRowDxfId="45" dataCellStyle="Comma">
      <totalsRowFormula>Table3[[#Totals],[2029]]+N12</totalsRowFormula>
    </tableColumn>
    <tableColumn id="11" xr3:uid="{7AFBF0D8-EFCB-BD40-9797-A8DA640BE121}" name="2031" totalsRowFunction="custom" dataDxfId="44" totalsRowDxfId="43" dataCellStyle="Comma">
      <totalsRowFormula>Table3[[#Totals],[2030]]+O12</totalsRowFormula>
    </tableColumn>
    <tableColumn id="12" xr3:uid="{F50F8622-B86E-DE4B-8344-97514986A226}" name="2032" totalsRowFunction="custom" dataDxfId="42" totalsRowDxfId="41" dataCellStyle="Comma">
      <totalsRowFormula>Table3[[#Totals],[2031]]+P12</totalsRowFormula>
    </tableColumn>
    <tableColumn id="16" xr3:uid="{C13C1E06-43CC-7C4D-BBB3-ECD9E51CC95E}" name="2033" totalsRowFunction="custom" dataDxfId="40" totalsRowDxfId="39" dataCellStyle="Comma">
      <totalsRowFormula>Table3[[#Totals],[2032]]+Q12</totalsRowFormula>
    </tableColumn>
  </tableColumns>
  <tableStyleInfo name="TableStyleLight8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61A9F8E-E811-6C41-A2C0-889C04640E30}" name="Table4" displayName="Table4" ref="B3:Q8" totalsRowCount="1" headerRowDxfId="38" dataDxfId="37" totalsRowDxfId="36">
  <autoFilter ref="B3:Q7" xr:uid="{661A9F8E-E811-6C41-A2C0-889C04640E3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17D68DC3-C711-5040-B376-B5F51979E29B}" name="Produk" totalsRowLabel="Total" dataDxfId="35" totalsRowDxfId="34"/>
    <tableColumn id="15" xr3:uid="{968DDC5B-E089-D843-A52D-7172723D8D2A}" name="Inc1" dataDxfId="33" totalsRowDxfId="32"/>
    <tableColumn id="14" xr3:uid="{78BB3794-9BF6-8D40-9094-953658171EEA}" name="Inc2" dataDxfId="31" totalsRowDxfId="30"/>
    <tableColumn id="13" xr3:uid="{A8272FC9-0AD5-BF4D-989E-3C102689BF68}" name="Column2" dataDxfId="29" totalsRowDxfId="28"/>
    <tableColumn id="2" xr3:uid="{B4B4FEAA-CB59-9346-9F47-FF72671E2EE8}" name="2022" totalsRowFunction="sum" dataDxfId="27" totalsRowDxfId="26" dataCellStyle="Comma"/>
    <tableColumn id="3" xr3:uid="{231FA472-4B76-4041-8A73-8F9C4AEBBE8F}" name="2023" totalsRowFunction="sum" dataDxfId="25" totalsRowDxfId="24" dataCellStyle="Comma"/>
    <tableColumn id="4" xr3:uid="{2E117CD9-E0EC-D746-814E-EC6AAAC8290B}" name="2024" totalsRowFunction="sum" dataDxfId="23" totalsRowDxfId="22" dataCellStyle="Comma"/>
    <tableColumn id="5" xr3:uid="{F927B8CF-7FCD-114C-9E2D-B44F29CFF80D}" name="2025" totalsRowFunction="sum" dataDxfId="21" totalsRowDxfId="20">
      <calculatedColumnFormula>Table4[[#This Row],[2024]]*(100%+Table4[[#This Row],[Inc1]])</calculatedColumnFormula>
    </tableColumn>
    <tableColumn id="6" xr3:uid="{07104418-C75B-EE40-9CDC-49C0D474463F}" name="2026" totalsRowFunction="sum" dataDxfId="19" totalsRowDxfId="18">
      <calculatedColumnFormula>Table4[[#This Row],[2025]]*(100%+Table4[[#This Row],[Inc2]])</calculatedColumnFormula>
    </tableColumn>
    <tableColumn id="7" xr3:uid="{DD42A9E1-1AC5-A249-A036-872FCF3A21BF}" name="2027" totalsRowFunction="sum" dataDxfId="17" totalsRowDxfId="16">
      <calculatedColumnFormula>Table4[[#This Row],[2026]]*(100%+Table4[[#This Row],[Inc2]])</calculatedColumnFormula>
    </tableColumn>
    <tableColumn id="8" xr3:uid="{BB3B38F4-7B6D-4A4B-A663-5855598CB7D4}" name="2028" totalsRowFunction="sum" dataDxfId="15" totalsRowDxfId="14">
      <calculatedColumnFormula>Table4[[#This Row],[2027]]*(100%+Table4[[#This Row],[Inc2]])</calculatedColumnFormula>
    </tableColumn>
    <tableColumn id="9" xr3:uid="{9F83B130-E9C9-904F-89DD-F5CF18D1A800}" name="2029" totalsRowFunction="sum" dataDxfId="13" totalsRowDxfId="12">
      <calculatedColumnFormula>Table4[[#This Row],[2028]]*(100%+Table4[[#This Row],[Inc2]])</calculatedColumnFormula>
    </tableColumn>
    <tableColumn id="10" xr3:uid="{61DE65DA-614C-5D46-9E42-B760A7726F49}" name="2030" totalsRowFunction="sum" dataDxfId="11" totalsRowDxfId="10">
      <calculatedColumnFormula>Table4[[#This Row],[2029]]*(100%+Table4[[#This Row],[Inc2]])</calculatedColumnFormula>
    </tableColumn>
    <tableColumn id="11" xr3:uid="{F9EEB720-D487-8B44-9A5E-608CDE69A8E5}" name="2031" totalsRowFunction="sum" dataDxfId="9" totalsRowDxfId="8">
      <calculatedColumnFormula>Table4[[#This Row],[2030]]*(100%+Table4[[#This Row],[Inc2]])</calculatedColumnFormula>
    </tableColumn>
    <tableColumn id="12" xr3:uid="{BC9CD56F-EA9F-9B44-89E9-D5ADAD5581E1}" name="2032" totalsRowFunction="sum" dataDxfId="7" totalsRowDxfId="6">
      <calculatedColumnFormula>Table4[[#This Row],[2031]]*(100%+Table4[[#This Row],[Inc2]])</calculatedColumnFormula>
    </tableColumn>
    <tableColumn id="16" xr3:uid="{1B13718D-226F-224D-9BC2-95A7F8197061}" name="2033" totalsRowFunction="sum" dataDxfId="5" totalsRowDxfId="4">
      <calculatedColumnFormula>Table4[[#This Row],[2032]]*(100%+Table4[[#This Row],[Inc2]])</calculatedColumnFormula>
    </tableColumn>
  </tableColumns>
  <tableStyleInfo name="TableStyleLight8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B641AB30-8712-0E4C-81D4-86E531C2B479}" name="Table8" displayName="Table8" ref="H10:I11" totalsRowShown="0" headerRowDxfId="3" dataDxfId="2">
  <autoFilter ref="H10:I11" xr:uid="{B641AB30-8712-0E4C-81D4-86E531C2B479}">
    <filterColumn colId="0" hiddenButton="1"/>
    <filterColumn colId="1" hiddenButton="1"/>
  </autoFilter>
  <tableColumns count="2">
    <tableColumn id="1" xr3:uid="{65DFC2D3-6A20-C24D-8C3C-769903C381DA}" name="2.35%" dataDxfId="1">
      <calculatedColumnFormula>Table4[[#Totals],[2023]]-Table4[[#Totals],[2022]]</calculatedColumnFormula>
    </tableColumn>
    <tableColumn id="2" xr3:uid="{BD08AFDC-A92D-1848-A18B-79184B6FFB70}" name="1%" dataDxfId="0">
      <calculatedColumnFormula>H11/(H10*100)</calculatedColumnFormula>
    </tableColumn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drawing" Target="../drawings/drawing4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table" Target="../tables/table7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BDCFE-F0B0-424D-99D0-3D8063A7FB85}">
  <sheetPr>
    <pageSetUpPr fitToPage="1"/>
  </sheetPr>
  <dimension ref="B2:O25"/>
  <sheetViews>
    <sheetView showGridLines="0" tabSelected="1" zoomScale="112" zoomScaleNormal="80" workbookViewId="0">
      <selection activeCell="J13" sqref="J13:J14"/>
    </sheetView>
  </sheetViews>
  <sheetFormatPr baseColWidth="10" defaultColWidth="11" defaultRowHeight="16" x14ac:dyDescent="0.2"/>
  <cols>
    <col min="1" max="1" width="3.6640625" style="1" customWidth="1"/>
    <col min="2" max="2" width="13.33203125" style="1" customWidth="1"/>
    <col min="3" max="12" width="17.83203125" style="8" customWidth="1"/>
    <col min="13" max="13" width="17.83203125" style="1" customWidth="1"/>
    <col min="14" max="14" width="16.1640625" style="1" bestFit="1" customWidth="1"/>
    <col min="15" max="15" width="11" style="1"/>
    <col min="16" max="16" width="4" style="1" customWidth="1"/>
    <col min="17" max="16384" width="11" style="1"/>
  </cols>
  <sheetData>
    <row r="2" spans="2:15" x14ac:dyDescent="0.2">
      <c r="B2" s="23" t="s">
        <v>119</v>
      </c>
    </row>
    <row r="3" spans="2:15" x14ac:dyDescent="0.2">
      <c r="B3" s="21" t="s">
        <v>63</v>
      </c>
      <c r="C3" s="137" t="s">
        <v>45</v>
      </c>
      <c r="D3" s="138" t="s">
        <v>9</v>
      </c>
      <c r="E3" s="118" t="s">
        <v>10</v>
      </c>
      <c r="F3" s="119" t="s">
        <v>11</v>
      </c>
      <c r="G3" s="118" t="s">
        <v>12</v>
      </c>
      <c r="H3" s="119" t="s">
        <v>13</v>
      </c>
      <c r="I3" s="118" t="s">
        <v>14</v>
      </c>
      <c r="J3" s="119" t="s">
        <v>15</v>
      </c>
      <c r="K3" s="118" t="s">
        <v>16</v>
      </c>
      <c r="L3" s="119" t="s">
        <v>17</v>
      </c>
      <c r="M3" s="118" t="s">
        <v>18</v>
      </c>
      <c r="N3" s="119" t="s">
        <v>111</v>
      </c>
    </row>
    <row r="4" spans="2:15" s="2" customFormat="1" x14ac:dyDescent="0.2">
      <c r="B4" s="2" t="s">
        <v>112</v>
      </c>
      <c r="C4" s="139">
        <v>0.79290000000000005</v>
      </c>
      <c r="D4" s="140">
        <f>'TE All % (y)'!D19</f>
        <v>0.81121612770824147</v>
      </c>
      <c r="E4" s="131">
        <f>'TE All % (y)'!E19</f>
        <v>0.89627449309068341</v>
      </c>
      <c r="F4" s="131">
        <f>'TE All % (y)'!F19</f>
        <v>0.89621466651914994</v>
      </c>
      <c r="G4" s="131">
        <f>'TE All % (y)'!G19</f>
        <v>0.89224538308143131</v>
      </c>
      <c r="H4" s="131">
        <f>'TE All % (y)'!H19</f>
        <v>0.88126037349636632</v>
      </c>
      <c r="I4" s="131">
        <f>'TE All % (y)'!I19</f>
        <v>0.88348404518333434</v>
      </c>
      <c r="J4" s="131">
        <f>'TE All % (y)'!J19</f>
        <v>0.89473902374484471</v>
      </c>
      <c r="K4" s="131">
        <f>'TE All % (y)'!K19</f>
        <v>0.88880335140849887</v>
      </c>
      <c r="L4" s="131">
        <f>'TE All % (y)'!L19</f>
        <v>0.900598560100347</v>
      </c>
      <c r="M4" s="131">
        <f>'TE All % (y)'!M19</f>
        <v>0.900598560100347</v>
      </c>
      <c r="N4" s="131">
        <f>'TE All % (y)'!N19</f>
        <v>0.900598560100347</v>
      </c>
    </row>
    <row r="5" spans="2:15" s="2" customFormat="1" x14ac:dyDescent="0.2">
      <c r="B5" s="2" t="s">
        <v>0</v>
      </c>
      <c r="C5" s="141"/>
      <c r="D5" s="142"/>
      <c r="E5" s="10"/>
      <c r="F5" s="10"/>
      <c r="G5" s="10"/>
      <c r="H5" s="10"/>
      <c r="I5" s="10"/>
      <c r="J5" s="10"/>
      <c r="K5" s="10"/>
      <c r="L5" s="10"/>
      <c r="M5" s="10"/>
      <c r="N5" s="10"/>
    </row>
    <row r="6" spans="2:15" s="4" customFormat="1" x14ac:dyDescent="0.2">
      <c r="B6" s="2" t="s">
        <v>21</v>
      </c>
      <c r="C6" s="141"/>
      <c r="D6" s="143"/>
      <c r="E6" s="10"/>
      <c r="F6" s="10"/>
      <c r="G6" s="10"/>
      <c r="H6" s="10"/>
      <c r="I6" s="10"/>
      <c r="J6" s="10"/>
      <c r="K6" s="10"/>
      <c r="L6" s="10"/>
      <c r="M6" s="10"/>
    </row>
    <row r="7" spans="2:15" s="4" customFormat="1" x14ac:dyDescent="0.2">
      <c r="B7" s="3"/>
      <c r="C7" s="10"/>
      <c r="D7" s="10"/>
      <c r="E7" s="10"/>
      <c r="F7" s="10"/>
      <c r="G7" s="10"/>
      <c r="H7" s="10"/>
      <c r="I7" s="10"/>
      <c r="J7" s="10"/>
      <c r="K7" s="10"/>
      <c r="L7" s="10"/>
    </row>
    <row r="8" spans="2:15" s="4" customFormat="1" x14ac:dyDescent="0.2">
      <c r="B8" s="3"/>
      <c r="C8" s="10"/>
      <c r="D8" s="10"/>
      <c r="E8" s="10"/>
      <c r="F8" s="10"/>
      <c r="G8" s="10"/>
      <c r="H8" s="10"/>
      <c r="I8" s="10"/>
      <c r="J8" s="10"/>
      <c r="K8" s="10"/>
      <c r="L8" s="10"/>
    </row>
    <row r="9" spans="2:15" s="4" customFormat="1" x14ac:dyDescent="0.2">
      <c r="B9" s="3" t="s">
        <v>113</v>
      </c>
      <c r="C9" s="132">
        <v>15000</v>
      </c>
      <c r="D9" s="132">
        <v>15000</v>
      </c>
      <c r="E9" s="132">
        <v>15000</v>
      </c>
      <c r="F9" s="132">
        <v>15000</v>
      </c>
      <c r="G9" s="132">
        <v>15000</v>
      </c>
      <c r="H9" s="132">
        <v>15000</v>
      </c>
      <c r="I9" s="132">
        <v>15000</v>
      </c>
      <c r="J9" s="132">
        <v>15000</v>
      </c>
      <c r="K9" s="132">
        <v>15000</v>
      </c>
      <c r="L9" s="132">
        <v>15000</v>
      </c>
      <c r="M9" s="132">
        <v>15000</v>
      </c>
      <c r="N9" s="132">
        <v>15000</v>
      </c>
    </row>
    <row r="10" spans="2:15" s="4" customFormat="1" x14ac:dyDescent="0.2"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2:15" s="6" customFormat="1" ht="20" customHeight="1" x14ac:dyDescent="0.2">
      <c r="B11" s="150" t="s">
        <v>120</v>
      </c>
      <c r="D11" s="7"/>
      <c r="E11" s="7">
        <v>1</v>
      </c>
      <c r="F11" s="7">
        <v>2</v>
      </c>
      <c r="G11" s="7">
        <v>3</v>
      </c>
      <c r="H11" s="7">
        <v>4</v>
      </c>
      <c r="I11" s="7">
        <v>5</v>
      </c>
      <c r="J11" s="7">
        <v>6</v>
      </c>
      <c r="K11" s="7">
        <v>7</v>
      </c>
      <c r="L11" s="7">
        <v>8</v>
      </c>
      <c r="M11" s="7">
        <v>9</v>
      </c>
      <c r="N11" s="6">
        <v>10</v>
      </c>
    </row>
    <row r="12" spans="2:15" s="6" customFormat="1" ht="20" customHeight="1" thickBot="1" x14ac:dyDescent="0.25">
      <c r="B12" s="6" t="s">
        <v>19</v>
      </c>
      <c r="C12" s="144" t="s">
        <v>45</v>
      </c>
      <c r="D12" s="145" t="s">
        <v>9</v>
      </c>
      <c r="E12" s="120" t="s">
        <v>10</v>
      </c>
      <c r="F12" s="120" t="s">
        <v>11</v>
      </c>
      <c r="G12" s="120" t="s">
        <v>12</v>
      </c>
      <c r="H12" s="120" t="s">
        <v>13</v>
      </c>
      <c r="I12" s="120" t="s">
        <v>14</v>
      </c>
      <c r="J12" s="120" t="s">
        <v>15</v>
      </c>
      <c r="K12" s="120" t="s">
        <v>16</v>
      </c>
      <c r="L12" s="120" t="s">
        <v>17</v>
      </c>
      <c r="M12" s="120" t="s">
        <v>18</v>
      </c>
      <c r="N12" s="120" t="s">
        <v>111</v>
      </c>
    </row>
    <row r="13" spans="2:15" s="8" customFormat="1" ht="20" customHeight="1" thickBot="1" x14ac:dyDescent="0.25">
      <c r="B13" s="11" t="s">
        <v>7</v>
      </c>
      <c r="C13" s="146">
        <v>240042962176.13782</v>
      </c>
      <c r="D13" s="147">
        <f>'TE Office (y)'!C7</f>
        <v>244288414593.99835</v>
      </c>
      <c r="E13" s="8">
        <f>'TE Office (y)'!D7</f>
        <v>272268033502.55194</v>
      </c>
      <c r="F13" s="8">
        <f>'TE Office (y)'!E7</f>
        <v>273379873720.00662</v>
      </c>
      <c r="G13" s="8">
        <f>'TE Office (y)'!F7</f>
        <v>272512641902.49152</v>
      </c>
      <c r="H13" s="8">
        <f>'TE Office (y)'!G7</f>
        <v>268623167786.62897</v>
      </c>
      <c r="I13" s="8">
        <f>'TE Office (y)'!H7</f>
        <v>270498254439.88403</v>
      </c>
      <c r="J13" s="8">
        <f>'TE Office (y)'!I7</f>
        <v>281001314837.49799</v>
      </c>
      <c r="K13" s="8">
        <f>'TE Office (y)'!J7</f>
        <v>284954638703.06525</v>
      </c>
      <c r="L13" s="8">
        <f>'TE Office (y)'!K7</f>
        <v>290420631437.20544</v>
      </c>
      <c r="M13" s="8">
        <f>'TE Office (y)'!L7</f>
        <v>290772333015.25214</v>
      </c>
      <c r="N13" s="8">
        <f>'TE Office (y)'!M7</f>
        <v>290772333015.25214</v>
      </c>
      <c r="O13" s="20"/>
    </row>
    <row r="14" spans="2:15" ht="20" customHeight="1" thickBot="1" x14ac:dyDescent="0.25">
      <c r="B14" s="1" t="s">
        <v>8</v>
      </c>
      <c r="C14" s="146">
        <v>7000000000</v>
      </c>
      <c r="D14" s="147">
        <v>10000000000</v>
      </c>
      <c r="E14" s="8">
        <v>10000000000</v>
      </c>
      <c r="F14" s="8">
        <v>10000000000</v>
      </c>
      <c r="G14" s="8">
        <v>10000000000</v>
      </c>
      <c r="H14" s="8">
        <v>10000000000</v>
      </c>
      <c r="I14" s="8">
        <v>10000000000</v>
      </c>
      <c r="J14" s="8">
        <v>10000000000</v>
      </c>
      <c r="K14" s="8">
        <v>10000000000</v>
      </c>
      <c r="L14" s="8">
        <v>10000000000</v>
      </c>
      <c r="M14" s="8">
        <v>10000000000</v>
      </c>
      <c r="N14" s="8">
        <v>10000000000</v>
      </c>
      <c r="O14" s="20"/>
    </row>
    <row r="15" spans="2:15" ht="20" customHeight="1" thickBot="1" x14ac:dyDescent="0.25">
      <c r="B15" s="1" t="s">
        <v>2</v>
      </c>
      <c r="C15" s="146" cm="1">
        <f t="array" ref="C15">Table3611[2022]</f>
        <v>15151548951.902332</v>
      </c>
      <c r="D15" s="147" cm="1">
        <f t="array" ref="D15">Table3611[2023]</f>
        <v>17699663023.4286</v>
      </c>
      <c r="E15" s="8" cm="1">
        <f t="array" ref="E15">Table3611[2024]</f>
        <v>19555524061.159779</v>
      </c>
      <c r="F15" s="8" cm="1">
        <f t="array" ref="F15">Table3611[2025]</f>
        <v>19554218724.493233</v>
      </c>
      <c r="G15" s="8" cm="1">
        <f t="array" ref="G15">Table3611[2026]</f>
        <v>19467614209.503407</v>
      </c>
      <c r="H15" s="8" cm="1">
        <f t="array" ref="H15">Table3611[2027]</f>
        <v>19227935828.707321</v>
      </c>
      <c r="I15" s="8" cm="1">
        <f t="array" ref="I15">Table3611[2028]</f>
        <v>19276453403.974548</v>
      </c>
      <c r="J15" s="8" cm="1">
        <f t="array" ref="J15">Table3611[2029]</f>
        <v>19522022150.786118</v>
      </c>
      <c r="K15" s="8" cm="1">
        <f t="array" ref="K15">Table3611[2030]</f>
        <v>19392513630.698368</v>
      </c>
      <c r="L15" s="8" cm="1">
        <f t="array" ref="L15">Table3611[2031]</f>
        <v>19649869484.46637</v>
      </c>
      <c r="M15" s="8" cm="1">
        <f t="array" ref="M15">Table3611[2032]</f>
        <v>19649869484.46637</v>
      </c>
      <c r="N15" s="8" cm="1">
        <f t="array" ref="N15">Table3611[2033]</f>
        <v>19649869484.46637</v>
      </c>
      <c r="O15" s="20"/>
    </row>
    <row r="16" spans="2:15" ht="20" customHeight="1" thickBot="1" x14ac:dyDescent="0.25">
      <c r="B16" s="1" t="s">
        <v>3</v>
      </c>
      <c r="C16" s="146">
        <f>Table3[[#Totals],[2022]]</f>
        <v>16440604452.040001</v>
      </c>
      <c r="D16" s="147">
        <f>Table3[[#Totals],[2023]]</f>
        <v>18124713023.468571</v>
      </c>
      <c r="E16" s="8">
        <f>Table3[[#Totals],[2024]]</f>
        <v>18592713023.468571</v>
      </c>
      <c r="F16" s="8">
        <f>Table3[[#Totals],[2025]]</f>
        <v>19298103023.468571</v>
      </c>
      <c r="G16" s="8">
        <f>Table3[[#Totals],[2026]]</f>
        <v>19893183023.468571</v>
      </c>
      <c r="H16" s="8">
        <f>Table3[[#Totals],[2027]]</f>
        <v>20493183023.468571</v>
      </c>
      <c r="I16" s="8">
        <f>Table3[[#Totals],[2028]]</f>
        <v>21093183023.468571</v>
      </c>
      <c r="J16" s="8">
        <f>Table3[[#Totals],[2029]]</f>
        <v>21693183023.468571</v>
      </c>
      <c r="K16" s="8">
        <f>Table3[[#Totals],[2030]]</f>
        <v>22293183023.468571</v>
      </c>
      <c r="L16" s="8">
        <f>Table3[[#Totals],[2031]]</f>
        <v>22893183023.468571</v>
      </c>
      <c r="M16" s="8">
        <f>Table3[[#Totals],[2032]]</f>
        <v>23493183023.468571</v>
      </c>
      <c r="N16" s="8">
        <f>Table3[[#Totals],[2033]]</f>
        <v>24093183023.468571</v>
      </c>
      <c r="O16" s="20"/>
    </row>
    <row r="17" spans="2:15" ht="20" customHeight="1" thickBot="1" x14ac:dyDescent="0.25">
      <c r="B17" s="1" t="s">
        <v>4</v>
      </c>
      <c r="C17" s="146">
        <f>Table4[[#Totals],[2022]]</f>
        <v>6147621139</v>
      </c>
      <c r="D17" s="147">
        <f>Table4[[#Totals],[2023]]</f>
        <v>7278897500</v>
      </c>
      <c r="E17" s="8">
        <f>Table4[[#Totals],[2024]]</f>
        <v>8461434448</v>
      </c>
      <c r="F17" s="8">
        <f>Table4[[#Totals],[2025]]</f>
        <v>8765171136.9599991</v>
      </c>
      <c r="G17" s="8">
        <f>Table4[[#Totals],[2026]]</f>
        <v>8940474559.6991997</v>
      </c>
      <c r="H17" s="8">
        <f>Table4[[#Totals],[2027]]</f>
        <v>9119284050.8931847</v>
      </c>
      <c r="I17" s="8">
        <f>Table4[[#Totals],[2028]]</f>
        <v>9301669731.9110489</v>
      </c>
      <c r="J17" s="8">
        <f>Table4[[#Totals],[2029]]</f>
        <v>9487703126.5492706</v>
      </c>
      <c r="K17" s="8">
        <f>Table4[[#Totals],[2030]]</f>
        <v>9677457189.0802555</v>
      </c>
      <c r="L17" s="8">
        <f>Table4[[#Totals],[2031]]</f>
        <v>9871006332.8618584</v>
      </c>
      <c r="M17" s="8">
        <f>Table4[[#Totals],[2032]]</f>
        <v>10068426459.519096</v>
      </c>
      <c r="N17" s="8">
        <f>Table4[[#Totals],[2033]]</f>
        <v>10269794988.70948</v>
      </c>
      <c r="O17" s="20"/>
    </row>
    <row r="18" spans="2:15" ht="20" customHeight="1" thickBot="1" x14ac:dyDescent="0.25">
      <c r="B18" s="1" t="s">
        <v>5</v>
      </c>
      <c r="C18" s="146">
        <f>SH!F4</f>
        <v>3200000000</v>
      </c>
      <c r="D18" s="147">
        <f>SH!G4</f>
        <v>4500000000</v>
      </c>
      <c r="E18" s="8">
        <f>SH!H4</f>
        <v>7200000000</v>
      </c>
      <c r="F18" s="8">
        <f>SH!I4</f>
        <v>7700000000</v>
      </c>
      <c r="G18" s="8">
        <f>SH!J4</f>
        <v>8200000000</v>
      </c>
      <c r="H18" s="8">
        <f>SH!K4</f>
        <v>8700000000</v>
      </c>
      <c r="I18" s="8">
        <f>SH!L4</f>
        <v>9200000000</v>
      </c>
      <c r="J18" s="8">
        <f>SH!M4</f>
        <v>9700000000</v>
      </c>
      <c r="K18" s="8">
        <f>SH!N4</f>
        <v>10200000000</v>
      </c>
      <c r="L18" s="8">
        <f>SH!O4</f>
        <v>10700000000</v>
      </c>
      <c r="M18" s="8">
        <f>SH!P4</f>
        <v>11200000000</v>
      </c>
      <c r="N18" s="8">
        <f>SH!Q4</f>
        <v>11700000000</v>
      </c>
      <c r="O18" s="20"/>
    </row>
    <row r="19" spans="2:15" ht="20" customHeight="1" thickBot="1" x14ac:dyDescent="0.25">
      <c r="B19" s="1" t="s">
        <v>6</v>
      </c>
      <c r="C19" s="146">
        <v>5100000000</v>
      </c>
      <c r="D19" s="147">
        <f>3500000000+1600000000</f>
        <v>5100000000</v>
      </c>
      <c r="E19" s="8">
        <f t="shared" ref="E19:N19" si="0">3500000000+1600000000</f>
        <v>5100000000</v>
      </c>
      <c r="F19" s="8">
        <f t="shared" si="0"/>
        <v>5100000000</v>
      </c>
      <c r="G19" s="8">
        <f t="shared" si="0"/>
        <v>5100000000</v>
      </c>
      <c r="H19" s="8">
        <f t="shared" si="0"/>
        <v>5100000000</v>
      </c>
      <c r="I19" s="8">
        <f t="shared" si="0"/>
        <v>5100000000</v>
      </c>
      <c r="J19" s="8">
        <f t="shared" si="0"/>
        <v>5100000000</v>
      </c>
      <c r="K19" s="8">
        <f t="shared" si="0"/>
        <v>5100000000</v>
      </c>
      <c r="L19" s="8">
        <f t="shared" si="0"/>
        <v>5100000000</v>
      </c>
      <c r="M19" s="8">
        <f t="shared" si="0"/>
        <v>5100000000</v>
      </c>
      <c r="N19" s="8">
        <f t="shared" si="0"/>
        <v>5100000000</v>
      </c>
      <c r="O19" s="20"/>
    </row>
    <row r="20" spans="2:15" ht="20" customHeight="1" thickBot="1" x14ac:dyDescent="0.25">
      <c r="B20" s="1" t="s">
        <v>0</v>
      </c>
      <c r="C20" s="146">
        <f>Ampera!F4</f>
        <v>8199964357.2000008</v>
      </c>
      <c r="D20" s="147">
        <f>Ampera!G4</f>
        <v>9017344357.2000008</v>
      </c>
      <c r="E20" s="8">
        <f>Ampera!H4</f>
        <v>9017344357.2000008</v>
      </c>
      <c r="F20" s="8">
        <f>Ampera!I4</f>
        <v>9017344357.2000008</v>
      </c>
      <c r="G20" s="8">
        <f>Ampera!J4</f>
        <v>9017344357.2000008</v>
      </c>
      <c r="H20" s="8">
        <f>Ampera!K4</f>
        <v>9017344357.2000008</v>
      </c>
      <c r="I20" s="8">
        <f>Ampera!L4</f>
        <v>9017344357.2000008</v>
      </c>
      <c r="J20" s="8">
        <f>Ampera!M4</f>
        <v>9017344357.2000008</v>
      </c>
      <c r="K20" s="8">
        <f>Ampera!N4</f>
        <v>9017344357.2000008</v>
      </c>
      <c r="L20" s="8">
        <f>Ampera!O4</f>
        <v>9017344357.2000008</v>
      </c>
      <c r="M20" s="8">
        <f>Ampera!P4</f>
        <v>9017344357.2000008</v>
      </c>
      <c r="N20" s="8">
        <f>Ampera!Q4</f>
        <v>9017344357.2000008</v>
      </c>
      <c r="O20" s="20"/>
    </row>
    <row r="21" spans="2:15" ht="20" customHeight="1" thickBot="1" x14ac:dyDescent="0.25">
      <c r="B21" s="1" t="s">
        <v>1</v>
      </c>
      <c r="C21" s="146">
        <v>2600000000</v>
      </c>
      <c r="D21" s="147">
        <v>2600000000</v>
      </c>
      <c r="E21" s="8">
        <v>2600000000</v>
      </c>
      <c r="F21" s="8">
        <v>2600000000</v>
      </c>
      <c r="G21" s="8">
        <v>2600000000</v>
      </c>
      <c r="H21" s="8">
        <v>2600000000</v>
      </c>
      <c r="I21" s="8">
        <v>2600000000</v>
      </c>
      <c r="J21" s="8">
        <v>2600000000</v>
      </c>
      <c r="K21" s="8">
        <v>2600000000</v>
      </c>
      <c r="L21" s="8">
        <v>2600000000</v>
      </c>
      <c r="M21" s="8">
        <v>2600000000</v>
      </c>
      <c r="N21" s="8">
        <v>2600000000</v>
      </c>
      <c r="O21" s="20"/>
    </row>
    <row r="22" spans="2:15" ht="20" customHeight="1" thickBot="1" x14ac:dyDescent="0.25">
      <c r="B22" s="1" t="s">
        <v>81</v>
      </c>
      <c r="C22" s="146">
        <f>Dago!F4</f>
        <v>8000000000</v>
      </c>
      <c r="D22" s="147">
        <f>Dago!G4</f>
        <v>8500000000</v>
      </c>
      <c r="E22" s="8">
        <f>Dago!H4</f>
        <v>10000000000</v>
      </c>
      <c r="F22" s="8">
        <f>Dago!I4</f>
        <v>11000000000</v>
      </c>
      <c r="G22" s="8">
        <f>Dago!J4</f>
        <v>12000000000</v>
      </c>
      <c r="H22" s="8">
        <f>Dago!K4</f>
        <v>12500000000</v>
      </c>
      <c r="I22" s="8">
        <f>Dago!L4</f>
        <v>13000000000</v>
      </c>
      <c r="J22" s="8">
        <f>Dago!M4</f>
        <v>13000000000</v>
      </c>
      <c r="K22" s="8">
        <f>Dago!N4</f>
        <v>13000000000</v>
      </c>
      <c r="L22" s="8">
        <f>Dago!O4</f>
        <v>13000000000</v>
      </c>
      <c r="M22" s="8">
        <f>Dago!P4</f>
        <v>13000000000</v>
      </c>
      <c r="N22" s="8">
        <f>Dago!Q4</f>
        <v>13000000000</v>
      </c>
      <c r="O22" s="136"/>
    </row>
    <row r="23" spans="2:15" ht="20" customHeight="1" x14ac:dyDescent="0.2">
      <c r="C23" s="148"/>
      <c r="D23" s="147"/>
      <c r="M23" s="8"/>
      <c r="N23" s="8"/>
      <c r="O23" s="135"/>
    </row>
    <row r="24" spans="2:15" ht="20" customHeight="1" x14ac:dyDescent="0.2">
      <c r="B24" s="1" t="s">
        <v>114</v>
      </c>
      <c r="C24" s="148">
        <f>SUBTOTAL(109,Table2[2022])</f>
        <v>311882701076.28015</v>
      </c>
      <c r="D24" s="149">
        <f>SUBTOTAL(109,Table2[2023])</f>
        <v>327109032498.09552</v>
      </c>
      <c r="E24" s="9">
        <f>SUBTOTAL(109,Table2[2024])</f>
        <v>362795049392.38031</v>
      </c>
      <c r="F24" s="9">
        <f>SUBTOTAL(109,Table2[2025])</f>
        <v>366414710962.12842</v>
      </c>
      <c r="G24" s="9">
        <f>SUBTOTAL(109,Table2[2026])</f>
        <v>367731258052.36273</v>
      </c>
      <c r="H24" s="9">
        <f>SUBTOTAL(109,Table2[2027])</f>
        <v>365380915046.89807</v>
      </c>
      <c r="I24" s="9">
        <f>SUBTOTAL(109,Table2[2028])</f>
        <v>369086904956.43823</v>
      </c>
      <c r="J24" s="9">
        <f>SUBTOTAL(109,Table2[2029])</f>
        <v>381121567495.50195</v>
      </c>
      <c r="K24" s="9">
        <f>SUBTOTAL(109,Table2[2030])</f>
        <v>386235136903.51245</v>
      </c>
      <c r="L24" s="9">
        <f>SUBTOTAL(109,Table2[2031])</f>
        <v>393252034635.20227</v>
      </c>
      <c r="M24" s="9">
        <f>SUBTOTAL(109,Table2[2032])</f>
        <v>394901156339.90619</v>
      </c>
      <c r="N24" s="9">
        <f>SUBTOTAL(109,Table2[2033])</f>
        <v>396202524869.09656</v>
      </c>
    </row>
    <row r="25" spans="2:15" ht="20" customHeight="1" x14ac:dyDescent="0.2">
      <c r="B25" s="1" t="s">
        <v>115</v>
      </c>
      <c r="C25" s="146">
        <f>Table2[[#Totals],[2022]]/C9</f>
        <v>20792180.071752012</v>
      </c>
      <c r="D25" s="146">
        <f>Table2[[#Totals],[2023]]/D9</f>
        <v>21807268.833206367</v>
      </c>
      <c r="E25" s="8">
        <f>Table2[[#Totals],[2024]]/E9</f>
        <v>24186336.626158688</v>
      </c>
      <c r="F25" s="8">
        <f>Table2[[#Totals],[2025]]/F9</f>
        <v>24427647.397475228</v>
      </c>
      <c r="G25" s="8">
        <f>Table2[[#Totals],[2026]]/G9</f>
        <v>24515417.20349085</v>
      </c>
      <c r="H25" s="8">
        <f>Table2[[#Totals],[2027]]/H9</f>
        <v>24358727.669793203</v>
      </c>
      <c r="I25" s="8">
        <f>Table2[[#Totals],[2028]]/I9</f>
        <v>24605793.663762547</v>
      </c>
      <c r="J25" s="8">
        <f>Table2[[#Totals],[2029]]/J9</f>
        <v>25408104.499700129</v>
      </c>
      <c r="K25" s="8">
        <f>Table2[[#Totals],[2030]]/K9</f>
        <v>25749009.126900829</v>
      </c>
      <c r="L25" s="8">
        <f>Table2[[#Totals],[2031]]/L9</f>
        <v>26216802.309013486</v>
      </c>
      <c r="M25" s="8">
        <f>Table2[[#Totals],[2032]]/M9</f>
        <v>26326743.755993746</v>
      </c>
      <c r="N25" s="8">
        <f>Table2[[#Totals],[2033]]/N9</f>
        <v>26413501.657939769</v>
      </c>
    </row>
  </sheetData>
  <phoneticPr fontId="13" type="noConversion"/>
  <printOptions horizontalCentered="1"/>
  <pageMargins left="0.25" right="0.25" top="0.75" bottom="0.75" header="0.3" footer="0.3"/>
  <pageSetup paperSize="9" scale="54" orientation="landscape" horizontalDpi="0" verticalDpi="0"/>
  <headerFooter>
    <oddFooter>&amp;A&amp;RPage &amp;P</oddFooter>
  </headerFooter>
  <tableParts count="2">
    <tablePart r:id="rId1"/>
    <tablePart r:id="rId2"/>
  </tableParts>
  <extLst>
    <ext xmlns:x14="http://schemas.microsoft.com/office/spreadsheetml/2009/9/main" uri="{05C60535-1F16-4fd2-B633-F4F36F0B64E0}">
      <x14:sparklineGroups xmlns:xm="http://schemas.microsoft.com/office/excel/2006/main">
        <x14:sparklineGroup type="column" displayEmptyCellsAs="gap" xr2:uid="{EB084646-F3BA-004D-B7D4-64A547210686}">
          <x14:colorSeries theme="6" tint="0.39997558519241921"/>
          <x14:colorNegative theme="0" tint="-0.499984740745262"/>
          <x14:colorAxis rgb="FF000000"/>
          <x14:colorMarkers theme="6" tint="0.79998168889431442"/>
          <x14:colorFirst theme="6" tint="-0.249977111117893"/>
          <x14:colorLast theme="6" tint="-0.249977111117893"/>
          <x14:colorHigh theme="6" tint="-0.499984740745262"/>
          <x14:colorLow theme="6" tint="-0.499984740745262"/>
          <x14:sparklines>
            <x14:sparkline>
              <xm:f>Summary!E13:N13</xm:f>
              <xm:sqref>O13</xm:sqref>
            </x14:sparkline>
            <x14:sparkline>
              <xm:f>Summary!E14:N14</xm:f>
              <xm:sqref>O14</xm:sqref>
            </x14:sparkline>
            <x14:sparkline>
              <xm:f>Summary!E15:N15</xm:f>
              <xm:sqref>O15</xm:sqref>
            </x14:sparkline>
            <x14:sparkline>
              <xm:f>Summary!E16:N16</xm:f>
              <xm:sqref>O16</xm:sqref>
            </x14:sparkline>
            <x14:sparkline>
              <xm:f>Summary!E17:N17</xm:f>
              <xm:sqref>O17</xm:sqref>
            </x14:sparkline>
            <x14:sparkline>
              <xm:f>Summary!E18:N18</xm:f>
              <xm:sqref>O18</xm:sqref>
            </x14:sparkline>
            <x14:sparkline>
              <xm:f>Summary!E19:N19</xm:f>
              <xm:sqref>O19</xm:sqref>
            </x14:sparkline>
            <x14:sparkline>
              <xm:f>Summary!E20:N20</xm:f>
              <xm:sqref>O20</xm:sqref>
            </x14:sparkline>
            <x14:sparkline>
              <xm:f>Summary!E21:N21</xm:f>
              <xm:sqref>O21</xm:sqref>
            </x14:sparkline>
            <x14:sparkline>
              <xm:f>Summary!E22:N22</xm:f>
              <xm:sqref>O22</xm:sqref>
            </x14:sparkline>
          </x14:sparklines>
        </x14:sparklineGroup>
      </x14:sparklineGroup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40E5B-4418-7F4C-8463-249250AB3F7E}">
  <sheetPr>
    <pageSetUpPr fitToPage="1"/>
  </sheetPr>
  <dimension ref="B3:ED79"/>
  <sheetViews>
    <sheetView showGridLines="0" zoomScale="117" zoomScaleNormal="100" workbookViewId="0">
      <selection activeCell="C24" sqref="C24"/>
    </sheetView>
  </sheetViews>
  <sheetFormatPr baseColWidth="10" defaultRowHeight="16" x14ac:dyDescent="0.2"/>
  <cols>
    <col min="1" max="1" width="10.83203125" style="1"/>
    <col min="2" max="2" width="10.83203125" style="22"/>
    <col min="3" max="13" width="14.6640625" style="1" bestFit="1" customWidth="1"/>
    <col min="14" max="134" width="13.6640625" style="1" bestFit="1" customWidth="1"/>
    <col min="135" max="16384" width="10.83203125" style="1"/>
  </cols>
  <sheetData>
    <row r="3" spans="2:134" s="6" customFormat="1" ht="21" customHeight="1" x14ac:dyDescent="0.2">
      <c r="B3" s="22"/>
      <c r="C3" s="6">
        <v>0</v>
      </c>
      <c r="D3" s="6">
        <v>1</v>
      </c>
      <c r="E3" s="6">
        <v>2</v>
      </c>
      <c r="F3" s="6">
        <v>3</v>
      </c>
      <c r="G3" s="6">
        <v>4</v>
      </c>
      <c r="H3" s="6">
        <v>5</v>
      </c>
      <c r="I3" s="6">
        <v>6</v>
      </c>
      <c r="J3" s="6">
        <v>7</v>
      </c>
      <c r="K3" s="6">
        <v>8</v>
      </c>
      <c r="L3" s="6">
        <v>9</v>
      </c>
      <c r="M3" s="6">
        <v>10</v>
      </c>
    </row>
    <row r="4" spans="2:134" s="6" customFormat="1" ht="21" customHeight="1" x14ac:dyDescent="0.2">
      <c r="B4" s="22" t="s">
        <v>64</v>
      </c>
      <c r="C4" s="24">
        <v>45291</v>
      </c>
      <c r="D4" s="24">
        <v>45657</v>
      </c>
      <c r="E4" s="24">
        <v>46022</v>
      </c>
      <c r="F4" s="24">
        <v>46387</v>
      </c>
      <c r="G4" s="24">
        <v>46752</v>
      </c>
      <c r="H4" s="24">
        <v>47118</v>
      </c>
      <c r="I4" s="24">
        <v>47483</v>
      </c>
      <c r="J4" s="24">
        <v>47848</v>
      </c>
      <c r="K4" s="24">
        <v>48213</v>
      </c>
      <c r="L4" s="24">
        <v>48579</v>
      </c>
      <c r="M4" s="24">
        <v>48944</v>
      </c>
      <c r="N4" s="105"/>
      <c r="O4" s="105"/>
      <c r="P4" s="105"/>
      <c r="Q4" s="105"/>
      <c r="R4" s="105"/>
      <c r="S4" s="105"/>
      <c r="T4" s="105"/>
      <c r="U4" s="105"/>
      <c r="V4" s="105"/>
      <c r="W4" s="105"/>
      <c r="X4" s="105"/>
      <c r="Y4" s="105"/>
      <c r="Z4" s="105"/>
      <c r="AA4" s="105"/>
      <c r="AB4" s="105"/>
      <c r="AC4" s="105"/>
      <c r="AD4" s="105"/>
      <c r="AE4" s="105"/>
      <c r="AF4" s="105"/>
      <c r="AG4" s="105"/>
      <c r="AH4" s="105"/>
      <c r="AI4" s="105"/>
      <c r="AJ4" s="105"/>
      <c r="AK4" s="105"/>
      <c r="AL4" s="105"/>
      <c r="AM4" s="105"/>
      <c r="AN4" s="105"/>
      <c r="AO4" s="105"/>
      <c r="AP4" s="105"/>
      <c r="AQ4" s="105"/>
      <c r="AR4" s="105"/>
      <c r="AS4" s="105"/>
      <c r="AT4" s="105"/>
      <c r="AU4" s="105"/>
      <c r="AV4" s="105"/>
      <c r="AW4" s="105"/>
      <c r="AX4" s="105"/>
      <c r="AY4" s="105"/>
      <c r="AZ4" s="105"/>
      <c r="BA4" s="105"/>
      <c r="BB4" s="105"/>
      <c r="BC4" s="105"/>
      <c r="BD4" s="105"/>
      <c r="BE4" s="105"/>
      <c r="BF4" s="105"/>
      <c r="BG4" s="105"/>
      <c r="BH4" s="105"/>
      <c r="BI4" s="105"/>
      <c r="BJ4" s="105"/>
      <c r="BK4" s="105"/>
      <c r="BL4" s="105"/>
      <c r="BM4" s="105"/>
      <c r="BN4" s="105"/>
      <c r="BO4" s="105"/>
      <c r="BP4" s="105"/>
      <c r="BQ4" s="105"/>
      <c r="BR4" s="105"/>
      <c r="BS4" s="105"/>
      <c r="BT4" s="105"/>
      <c r="BU4" s="105"/>
      <c r="BV4" s="105"/>
      <c r="BW4" s="105"/>
      <c r="BX4" s="105"/>
      <c r="BY4" s="105"/>
      <c r="BZ4" s="105"/>
      <c r="CA4" s="105"/>
      <c r="CB4" s="105"/>
      <c r="CC4" s="105"/>
      <c r="CD4" s="105"/>
      <c r="CE4" s="105"/>
      <c r="CF4" s="105"/>
      <c r="CG4" s="105"/>
      <c r="CH4" s="105"/>
      <c r="CI4" s="105"/>
      <c r="CJ4" s="105"/>
      <c r="CK4" s="105"/>
      <c r="CL4" s="105"/>
      <c r="CM4" s="105"/>
      <c r="CN4" s="105"/>
      <c r="CO4" s="105"/>
      <c r="CP4" s="105"/>
      <c r="CQ4" s="105"/>
      <c r="CR4" s="105"/>
      <c r="CS4" s="105"/>
      <c r="CT4" s="105"/>
      <c r="CU4" s="105"/>
      <c r="CV4" s="105"/>
      <c r="CW4" s="105"/>
      <c r="CX4" s="105"/>
      <c r="CY4" s="105"/>
      <c r="CZ4" s="105"/>
      <c r="DA4" s="105"/>
      <c r="DB4" s="105"/>
      <c r="DC4" s="105"/>
      <c r="DD4" s="105"/>
      <c r="DE4" s="105"/>
      <c r="DF4" s="105"/>
      <c r="DG4" s="105"/>
      <c r="DH4" s="105"/>
      <c r="DI4" s="105"/>
      <c r="DJ4" s="105"/>
      <c r="DK4" s="105"/>
      <c r="DL4" s="105"/>
      <c r="DM4" s="105"/>
      <c r="DN4" s="105"/>
      <c r="DO4" s="105"/>
      <c r="DP4" s="105"/>
      <c r="DQ4" s="105"/>
      <c r="DR4" s="105"/>
      <c r="DS4" s="105"/>
      <c r="DT4" s="105"/>
      <c r="DU4" s="105"/>
      <c r="DV4" s="105"/>
      <c r="DW4" s="105"/>
      <c r="DX4" s="105"/>
      <c r="DY4" s="105"/>
      <c r="DZ4" s="105"/>
      <c r="EA4" s="105"/>
      <c r="EB4" s="105"/>
      <c r="EC4" s="105"/>
      <c r="ED4" s="105"/>
    </row>
    <row r="5" spans="2:134" ht="21" customHeight="1" x14ac:dyDescent="0.2">
      <c r="B5" s="22" t="s">
        <v>65</v>
      </c>
      <c r="C5" s="25">
        <v>201329974123.27606</v>
      </c>
      <c r="D5" s="26">
        <v>224043386923.18649</v>
      </c>
      <c r="E5" s="26">
        <v>224083962653.18649</v>
      </c>
      <c r="F5" s="26">
        <v>223088897073.18649</v>
      </c>
      <c r="G5" s="26">
        <v>219848040208.23053</v>
      </c>
      <c r="H5" s="26">
        <v>220501702470.72833</v>
      </c>
      <c r="I5" s="26">
        <v>229922498218.29556</v>
      </c>
      <c r="J5" s="26">
        <v>234288206655.86279</v>
      </c>
      <c r="K5" s="26">
        <v>237956208255.86279</v>
      </c>
      <c r="L5" s="26">
        <v>237956208255.86279</v>
      </c>
      <c r="M5" s="26">
        <v>237956208255.86279</v>
      </c>
      <c r="N5" s="74"/>
      <c r="O5" s="74"/>
      <c r="P5" s="74"/>
      <c r="Q5" s="74"/>
      <c r="R5" s="74"/>
      <c r="S5" s="74"/>
      <c r="T5" s="74"/>
      <c r="U5" s="74"/>
      <c r="V5" s="74"/>
      <c r="W5" s="74"/>
      <c r="X5" s="74"/>
      <c r="Y5" s="74"/>
      <c r="Z5" s="74"/>
      <c r="AA5" s="74"/>
      <c r="AB5" s="74"/>
      <c r="AC5" s="74"/>
      <c r="AD5" s="74"/>
      <c r="AE5" s="74"/>
      <c r="AF5" s="74"/>
      <c r="AG5" s="74"/>
      <c r="AH5" s="74"/>
      <c r="AI5" s="74"/>
      <c r="AJ5" s="74"/>
      <c r="AK5" s="74"/>
      <c r="AL5" s="74"/>
      <c r="AM5" s="74"/>
      <c r="AN5" s="74"/>
      <c r="AO5" s="74"/>
      <c r="AP5" s="74"/>
      <c r="AQ5" s="74"/>
      <c r="AR5" s="74"/>
      <c r="AS5" s="74"/>
      <c r="AT5" s="74"/>
      <c r="AU5" s="74"/>
      <c r="AV5" s="74"/>
      <c r="AW5" s="74"/>
      <c r="AX5" s="74"/>
      <c r="AY5" s="74"/>
      <c r="AZ5" s="74"/>
      <c r="BA5" s="74"/>
      <c r="BB5" s="74"/>
      <c r="BC5" s="74"/>
      <c r="BD5" s="74"/>
      <c r="BE5" s="74"/>
      <c r="BF5" s="74"/>
      <c r="BG5" s="74"/>
      <c r="BH5" s="74"/>
      <c r="BI5" s="74"/>
      <c r="BJ5" s="74"/>
      <c r="BK5" s="74"/>
      <c r="BL5" s="74"/>
      <c r="BM5" s="74"/>
      <c r="BN5" s="74"/>
      <c r="BO5" s="74"/>
      <c r="BP5" s="74"/>
      <c r="BQ5" s="74"/>
      <c r="BR5" s="74"/>
      <c r="BS5" s="74"/>
      <c r="BT5" s="74"/>
      <c r="BU5" s="74"/>
      <c r="BV5" s="74"/>
      <c r="BW5" s="74"/>
      <c r="BX5" s="74"/>
      <c r="BY5" s="74"/>
      <c r="BZ5" s="74"/>
      <c r="CA5" s="74"/>
      <c r="CB5" s="74"/>
      <c r="CC5" s="74"/>
      <c r="CD5" s="74"/>
      <c r="CE5" s="74"/>
      <c r="CF5" s="74"/>
      <c r="CG5" s="74"/>
      <c r="CH5" s="74"/>
      <c r="CI5" s="74"/>
      <c r="CJ5" s="74"/>
      <c r="CK5" s="74"/>
      <c r="CL5" s="74"/>
      <c r="CM5" s="74"/>
      <c r="CN5" s="74"/>
      <c r="CO5" s="74"/>
      <c r="CP5" s="74"/>
      <c r="CQ5" s="74"/>
      <c r="CR5" s="74"/>
      <c r="CS5" s="74"/>
      <c r="CT5" s="74"/>
      <c r="CU5" s="74"/>
      <c r="CV5" s="74"/>
      <c r="CW5" s="74"/>
      <c r="CX5" s="74"/>
      <c r="CY5" s="74"/>
      <c r="CZ5" s="74"/>
      <c r="DA5" s="74"/>
      <c r="DB5" s="74"/>
      <c r="DC5" s="74"/>
      <c r="DD5" s="74"/>
      <c r="DE5" s="74"/>
      <c r="DF5" s="74"/>
      <c r="DG5" s="74"/>
      <c r="DH5" s="74"/>
      <c r="DI5" s="74"/>
      <c r="DJ5" s="74"/>
      <c r="DK5" s="74"/>
      <c r="DL5" s="74"/>
      <c r="DM5" s="74"/>
      <c r="DN5" s="74"/>
      <c r="DO5" s="74"/>
      <c r="DP5" s="74"/>
      <c r="DQ5" s="74"/>
      <c r="DR5" s="74"/>
      <c r="DS5" s="74"/>
      <c r="DT5" s="74"/>
      <c r="DU5" s="74"/>
      <c r="DV5" s="74"/>
      <c r="DW5" s="74"/>
      <c r="DX5" s="74"/>
      <c r="DY5" s="74"/>
      <c r="DZ5" s="74"/>
      <c r="EA5" s="74"/>
      <c r="EB5" s="74"/>
      <c r="EC5" s="74"/>
      <c r="ED5" s="74"/>
    </row>
    <row r="6" spans="2:134" ht="21" customHeight="1" x14ac:dyDescent="0.2">
      <c r="B6" s="22" t="s">
        <v>66</v>
      </c>
      <c r="C6" s="25">
        <v>42958440470.722275</v>
      </c>
      <c r="D6" s="26">
        <v>48224646579.365463</v>
      </c>
      <c r="E6" s="26">
        <v>49295911066.820137</v>
      </c>
      <c r="F6" s="26">
        <v>49423744829.305031</v>
      </c>
      <c r="G6" s="26">
        <v>48775127578.398453</v>
      </c>
      <c r="H6" s="26">
        <v>49996551969.155701</v>
      </c>
      <c r="I6" s="26">
        <v>51078816619.202438</v>
      </c>
      <c r="J6" s="26">
        <v>50666432047.202438</v>
      </c>
      <c r="K6" s="26">
        <v>52464423181.342636</v>
      </c>
      <c r="L6" s="26">
        <v>52816124759.389366</v>
      </c>
      <c r="M6" s="26">
        <v>52816124759.389366</v>
      </c>
      <c r="N6" s="74"/>
      <c r="O6" s="74"/>
      <c r="P6" s="74"/>
      <c r="Q6" s="74"/>
      <c r="R6" s="74"/>
      <c r="S6" s="74"/>
      <c r="T6" s="74"/>
      <c r="U6" s="74"/>
      <c r="V6" s="74"/>
      <c r="W6" s="74"/>
      <c r="X6" s="74"/>
      <c r="Y6" s="74"/>
      <c r="Z6" s="74"/>
      <c r="AA6" s="74"/>
      <c r="AB6" s="74"/>
      <c r="AC6" s="74"/>
      <c r="AD6" s="74"/>
      <c r="AE6" s="74"/>
      <c r="AF6" s="74"/>
      <c r="AG6" s="74"/>
      <c r="AH6" s="74"/>
      <c r="AI6" s="74"/>
      <c r="AJ6" s="74"/>
      <c r="AK6" s="74"/>
      <c r="AL6" s="74"/>
      <c r="AM6" s="74"/>
      <c r="AN6" s="74"/>
      <c r="AO6" s="74"/>
      <c r="AP6" s="74"/>
      <c r="AQ6" s="74"/>
      <c r="AR6" s="74"/>
      <c r="AS6" s="74"/>
      <c r="AT6" s="74"/>
      <c r="AU6" s="74"/>
      <c r="AV6" s="74"/>
      <c r="AW6" s="74"/>
      <c r="AX6" s="74"/>
      <c r="AY6" s="74"/>
      <c r="AZ6" s="74"/>
      <c r="BA6" s="74"/>
      <c r="BB6" s="74"/>
      <c r="BC6" s="74"/>
      <c r="BD6" s="74"/>
      <c r="BE6" s="74"/>
      <c r="BF6" s="74"/>
      <c r="BG6" s="74"/>
      <c r="BH6" s="74"/>
      <c r="BI6" s="74"/>
      <c r="BJ6" s="74"/>
      <c r="BK6" s="74"/>
      <c r="BL6" s="74"/>
      <c r="BM6" s="74"/>
      <c r="BN6" s="74"/>
      <c r="BO6" s="74"/>
      <c r="BP6" s="74"/>
      <c r="BQ6" s="74"/>
      <c r="BR6" s="74"/>
      <c r="BS6" s="74"/>
      <c r="BT6" s="74"/>
      <c r="BU6" s="74"/>
      <c r="BV6" s="74"/>
      <c r="BW6" s="74"/>
      <c r="BX6" s="74"/>
      <c r="BY6" s="74"/>
      <c r="BZ6" s="74"/>
      <c r="CA6" s="74"/>
      <c r="CB6" s="74"/>
      <c r="CC6" s="74"/>
      <c r="CD6" s="74"/>
      <c r="CE6" s="74"/>
      <c r="CF6" s="74"/>
      <c r="CG6" s="74"/>
      <c r="CH6" s="74"/>
      <c r="CI6" s="74"/>
      <c r="CJ6" s="74"/>
      <c r="CK6" s="74"/>
      <c r="CL6" s="74"/>
      <c r="CM6" s="74"/>
      <c r="CN6" s="74"/>
      <c r="CO6" s="74"/>
      <c r="CP6" s="74"/>
      <c r="CQ6" s="74"/>
      <c r="CR6" s="74"/>
      <c r="CS6" s="74"/>
      <c r="CT6" s="74"/>
      <c r="CU6" s="74"/>
      <c r="CV6" s="74"/>
      <c r="CW6" s="74"/>
      <c r="CX6" s="74"/>
      <c r="CY6" s="74"/>
      <c r="CZ6" s="74"/>
      <c r="DA6" s="74"/>
      <c r="DB6" s="74"/>
      <c r="DC6" s="74"/>
      <c r="DD6" s="74"/>
      <c r="DE6" s="74"/>
      <c r="DF6" s="74"/>
      <c r="DG6" s="74"/>
      <c r="DH6" s="74"/>
      <c r="DI6" s="74"/>
      <c r="DJ6" s="74"/>
      <c r="DK6" s="74"/>
      <c r="DL6" s="74"/>
      <c r="DM6" s="74"/>
      <c r="DN6" s="74"/>
      <c r="DO6" s="74"/>
      <c r="DP6" s="74"/>
      <c r="DQ6" s="74"/>
      <c r="DR6" s="74"/>
      <c r="DS6" s="74"/>
      <c r="DT6" s="74"/>
      <c r="DU6" s="74"/>
      <c r="DV6" s="74"/>
      <c r="DW6" s="74"/>
      <c r="DX6" s="74"/>
      <c r="DY6" s="74"/>
      <c r="DZ6" s="74"/>
      <c r="EA6" s="74"/>
      <c r="EB6" s="74"/>
      <c r="EC6" s="74"/>
      <c r="ED6" s="74"/>
    </row>
    <row r="7" spans="2:134" s="23" customFormat="1" ht="21" customHeight="1" x14ac:dyDescent="0.2">
      <c r="B7" s="22" t="s">
        <v>20</v>
      </c>
      <c r="C7" s="27">
        <v>244288414593.99835</v>
      </c>
      <c r="D7" s="28">
        <v>272268033502.55194</v>
      </c>
      <c r="E7" s="28">
        <v>273379873720.00662</v>
      </c>
      <c r="F7" s="28">
        <v>272512641902.49152</v>
      </c>
      <c r="G7" s="28">
        <v>268623167786.62897</v>
      </c>
      <c r="H7" s="28">
        <v>270498254439.88403</v>
      </c>
      <c r="I7" s="28">
        <v>281001314837.49799</v>
      </c>
      <c r="J7" s="28">
        <v>284954638703.06525</v>
      </c>
      <c r="K7" s="28">
        <v>290420631437.20544</v>
      </c>
      <c r="L7" s="28">
        <v>290772333015.25214</v>
      </c>
      <c r="M7" s="28">
        <v>290772333015.25214</v>
      </c>
      <c r="N7" s="106"/>
      <c r="O7" s="106"/>
      <c r="P7" s="106"/>
      <c r="Q7" s="106"/>
      <c r="R7" s="106"/>
      <c r="S7" s="106"/>
      <c r="T7" s="106"/>
      <c r="U7" s="106"/>
      <c r="V7" s="106"/>
      <c r="W7" s="106"/>
      <c r="X7" s="106"/>
      <c r="Y7" s="106"/>
      <c r="Z7" s="106"/>
      <c r="AA7" s="106"/>
      <c r="AB7" s="106"/>
      <c r="AC7" s="106"/>
      <c r="AD7" s="106"/>
      <c r="AE7" s="106"/>
      <c r="AF7" s="106"/>
      <c r="AG7" s="106"/>
      <c r="AH7" s="106"/>
      <c r="AI7" s="106"/>
      <c r="AJ7" s="106"/>
      <c r="AK7" s="106"/>
      <c r="AL7" s="106"/>
      <c r="AM7" s="106"/>
      <c r="AN7" s="106"/>
      <c r="AO7" s="106"/>
      <c r="AP7" s="106"/>
      <c r="AQ7" s="106"/>
      <c r="AR7" s="106"/>
      <c r="AS7" s="106"/>
      <c r="AT7" s="106"/>
      <c r="AU7" s="106"/>
      <c r="AV7" s="106"/>
      <c r="AW7" s="106"/>
      <c r="AX7" s="106"/>
      <c r="AY7" s="106"/>
      <c r="AZ7" s="106"/>
      <c r="BA7" s="106"/>
      <c r="BB7" s="106"/>
      <c r="BC7" s="106"/>
      <c r="BD7" s="106"/>
      <c r="BE7" s="106"/>
      <c r="BF7" s="106"/>
      <c r="BG7" s="106"/>
      <c r="BH7" s="106"/>
      <c r="BI7" s="106"/>
      <c r="BJ7" s="106"/>
      <c r="BK7" s="106"/>
      <c r="BL7" s="106"/>
      <c r="BM7" s="106"/>
      <c r="BN7" s="106"/>
      <c r="BO7" s="106"/>
      <c r="BP7" s="106"/>
      <c r="BQ7" s="106"/>
      <c r="BR7" s="106"/>
      <c r="BS7" s="106"/>
      <c r="BT7" s="106"/>
      <c r="BU7" s="106"/>
      <c r="BV7" s="106"/>
      <c r="BW7" s="106"/>
      <c r="BX7" s="106"/>
      <c r="BY7" s="106"/>
      <c r="BZ7" s="106"/>
      <c r="CA7" s="106"/>
      <c r="CB7" s="106"/>
      <c r="CC7" s="106"/>
      <c r="CD7" s="106"/>
      <c r="CE7" s="106"/>
      <c r="CF7" s="106"/>
      <c r="CG7" s="106"/>
      <c r="CH7" s="106"/>
      <c r="CI7" s="106"/>
      <c r="CJ7" s="106"/>
      <c r="CK7" s="106"/>
      <c r="CL7" s="106"/>
      <c r="CM7" s="106"/>
      <c r="CN7" s="106"/>
      <c r="CO7" s="106"/>
      <c r="CP7" s="106"/>
      <c r="CQ7" s="106"/>
      <c r="CR7" s="106"/>
      <c r="CS7" s="106"/>
      <c r="CT7" s="106"/>
      <c r="CU7" s="106"/>
      <c r="CV7" s="106"/>
      <c r="CW7" s="106"/>
      <c r="CX7" s="106"/>
      <c r="CY7" s="106"/>
      <c r="CZ7" s="106"/>
      <c r="DA7" s="106"/>
      <c r="DB7" s="106"/>
      <c r="DC7" s="106"/>
      <c r="DD7" s="106"/>
      <c r="DE7" s="106"/>
      <c r="DF7" s="106"/>
      <c r="DG7" s="106"/>
      <c r="DH7" s="106"/>
      <c r="DI7" s="106"/>
      <c r="DJ7" s="106"/>
      <c r="DK7" s="106"/>
      <c r="DL7" s="106"/>
      <c r="DM7" s="106"/>
      <c r="DN7" s="106"/>
      <c r="DO7" s="106"/>
      <c r="DP7" s="106"/>
      <c r="DQ7" s="106"/>
      <c r="DR7" s="106"/>
      <c r="DS7" s="106"/>
      <c r="DT7" s="106"/>
      <c r="DU7" s="106"/>
      <c r="DV7" s="106"/>
      <c r="DW7" s="106"/>
      <c r="DX7" s="106"/>
      <c r="DY7" s="106"/>
      <c r="DZ7" s="106"/>
      <c r="EA7" s="106"/>
      <c r="EB7" s="106"/>
      <c r="EC7" s="106"/>
      <c r="ED7" s="106"/>
    </row>
    <row r="8" spans="2:134" ht="21" customHeight="1" x14ac:dyDescent="0.2">
      <c r="B8" s="22" t="s">
        <v>67</v>
      </c>
      <c r="C8" s="25">
        <v>48164.738639265204</v>
      </c>
      <c r="D8" s="26">
        <v>53745.103276055306</v>
      </c>
      <c r="E8" s="26">
        <v>53741.178276055311</v>
      </c>
      <c r="F8" s="26">
        <v>53480.768276055307</v>
      </c>
      <c r="G8" s="26">
        <v>52760.082441714658</v>
      </c>
      <c r="H8" s="26">
        <v>52905.969313511392</v>
      </c>
      <c r="I8" s="26">
        <v>53644.366813511406</v>
      </c>
      <c r="J8" s="26">
        <v>53254.949313511403</v>
      </c>
      <c r="K8" s="26">
        <v>54028.789313511399</v>
      </c>
      <c r="L8" s="26">
        <v>54028.789313511399</v>
      </c>
      <c r="M8" s="26">
        <v>54028.789313511399</v>
      </c>
      <c r="N8" s="74"/>
      <c r="O8" s="74"/>
      <c r="P8" s="74"/>
      <c r="Q8" s="74"/>
      <c r="R8" s="74"/>
      <c r="S8" s="74"/>
      <c r="T8" s="74"/>
      <c r="U8" s="74"/>
      <c r="V8" s="74"/>
      <c r="W8" s="74"/>
      <c r="X8" s="74"/>
      <c r="Y8" s="74"/>
      <c r="Z8" s="74"/>
      <c r="AA8" s="74"/>
      <c r="AB8" s="74"/>
      <c r="AC8" s="74"/>
      <c r="AD8" s="74"/>
      <c r="AE8" s="74"/>
      <c r="AF8" s="74"/>
      <c r="AG8" s="74"/>
      <c r="AH8" s="74"/>
      <c r="AI8" s="74"/>
      <c r="AJ8" s="74"/>
      <c r="AK8" s="74"/>
      <c r="AL8" s="74"/>
      <c r="AM8" s="74"/>
      <c r="AN8" s="74"/>
      <c r="AO8" s="74"/>
      <c r="AP8" s="74"/>
      <c r="AQ8" s="74"/>
      <c r="AR8" s="74"/>
      <c r="AS8" s="74"/>
      <c r="AT8" s="74"/>
      <c r="AU8" s="74"/>
      <c r="AV8" s="74"/>
      <c r="AW8" s="74"/>
      <c r="AX8" s="74"/>
      <c r="AY8" s="74"/>
      <c r="AZ8" s="74"/>
      <c r="BA8" s="74"/>
      <c r="BB8" s="74"/>
      <c r="BC8" s="74"/>
      <c r="BD8" s="74"/>
      <c r="BE8" s="74"/>
      <c r="BF8" s="74"/>
      <c r="BG8" s="74"/>
      <c r="BH8" s="74"/>
      <c r="BI8" s="74"/>
      <c r="BJ8" s="74"/>
      <c r="BK8" s="74"/>
      <c r="BL8" s="74"/>
      <c r="BM8" s="74"/>
      <c r="BN8" s="74"/>
      <c r="BO8" s="74"/>
      <c r="BP8" s="74"/>
      <c r="BQ8" s="74"/>
      <c r="BR8" s="74"/>
      <c r="BS8" s="74"/>
      <c r="BT8" s="74"/>
      <c r="BU8" s="74"/>
      <c r="BV8" s="74"/>
      <c r="BW8" s="74"/>
      <c r="BX8" s="74"/>
      <c r="BY8" s="74"/>
      <c r="BZ8" s="74"/>
      <c r="CA8" s="74"/>
      <c r="CB8" s="74"/>
      <c r="CC8" s="74"/>
      <c r="CD8" s="74"/>
      <c r="CE8" s="74"/>
      <c r="CF8" s="74"/>
      <c r="CG8" s="74"/>
      <c r="CH8" s="74"/>
      <c r="CI8" s="74"/>
      <c r="CJ8" s="74"/>
      <c r="CK8" s="74"/>
      <c r="CL8" s="74"/>
      <c r="CM8" s="74"/>
      <c r="CN8" s="74"/>
      <c r="CO8" s="74"/>
      <c r="CP8" s="74"/>
      <c r="CQ8" s="74"/>
      <c r="CR8" s="74"/>
      <c r="CS8" s="74"/>
      <c r="CT8" s="74"/>
      <c r="CU8" s="74"/>
      <c r="CV8" s="74"/>
      <c r="CW8" s="74"/>
      <c r="CX8" s="74"/>
      <c r="CY8" s="74"/>
      <c r="CZ8" s="74"/>
      <c r="DA8" s="74"/>
      <c r="DB8" s="74"/>
      <c r="DC8" s="74"/>
      <c r="DD8" s="74"/>
      <c r="DE8" s="74"/>
      <c r="DF8" s="74"/>
      <c r="DG8" s="74"/>
      <c r="DH8" s="74"/>
      <c r="DI8" s="74"/>
      <c r="DJ8" s="74"/>
      <c r="DK8" s="74"/>
      <c r="DL8" s="74"/>
      <c r="DM8" s="74"/>
      <c r="DN8" s="74"/>
      <c r="DO8" s="74"/>
      <c r="DP8" s="74"/>
      <c r="DQ8" s="74"/>
      <c r="DR8" s="74"/>
      <c r="DS8" s="74"/>
      <c r="DT8" s="74"/>
      <c r="DU8" s="74"/>
      <c r="DV8" s="74"/>
      <c r="DW8" s="74"/>
      <c r="DX8" s="74"/>
      <c r="DY8" s="74"/>
      <c r="DZ8" s="74"/>
      <c r="EA8" s="74"/>
      <c r="EB8" s="74"/>
      <c r="EC8" s="74"/>
      <c r="ED8" s="74"/>
    </row>
    <row r="9" spans="2:134" ht="21" customHeight="1" x14ac:dyDescent="0.2">
      <c r="B9" s="22" t="s">
        <v>68</v>
      </c>
      <c r="C9" s="29">
        <v>0.79668179530290339</v>
      </c>
      <c r="D9" s="30">
        <v>0.88898531532363601</v>
      </c>
      <c r="E9" s="30">
        <v>0.88892039280697965</v>
      </c>
      <c r="F9" s="30">
        <v>0.88461301126238834</v>
      </c>
      <c r="G9" s="30">
        <v>0.87269231366134692</v>
      </c>
      <c r="H9" s="30">
        <v>0.87510539464585357</v>
      </c>
      <c r="I9" s="30">
        <v>0.88731905680964274</v>
      </c>
      <c r="J9" s="30">
        <v>0.88087779206312433</v>
      </c>
      <c r="K9" s="30">
        <v>0.89367770041712935</v>
      </c>
      <c r="L9" s="30">
        <v>0.89367770041712935</v>
      </c>
      <c r="M9" s="30">
        <v>0.89367770041712935</v>
      </c>
      <c r="N9" s="107"/>
      <c r="O9" s="107"/>
      <c r="P9" s="107"/>
      <c r="Q9" s="107"/>
      <c r="R9" s="107"/>
      <c r="S9" s="107"/>
      <c r="T9" s="107"/>
      <c r="U9" s="107"/>
      <c r="V9" s="107"/>
      <c r="W9" s="107"/>
      <c r="X9" s="107"/>
      <c r="Y9" s="107"/>
      <c r="Z9" s="107"/>
      <c r="AA9" s="107"/>
      <c r="AB9" s="107"/>
      <c r="AC9" s="107"/>
      <c r="AD9" s="107"/>
      <c r="AE9" s="107"/>
      <c r="AF9" s="107"/>
      <c r="AG9" s="107"/>
      <c r="AH9" s="107"/>
      <c r="AI9" s="107"/>
      <c r="AJ9" s="107"/>
      <c r="AK9" s="107"/>
      <c r="AL9" s="107"/>
      <c r="AM9" s="107"/>
      <c r="AN9" s="107"/>
      <c r="AO9" s="107"/>
      <c r="AP9" s="107"/>
      <c r="AQ9" s="107"/>
      <c r="AR9" s="107"/>
      <c r="AS9" s="107"/>
      <c r="AT9" s="107"/>
      <c r="AU9" s="107"/>
      <c r="AV9" s="107"/>
      <c r="AW9" s="107"/>
      <c r="AX9" s="107"/>
      <c r="AY9" s="107"/>
      <c r="AZ9" s="107"/>
      <c r="BA9" s="107"/>
      <c r="BB9" s="107"/>
      <c r="BC9" s="107"/>
      <c r="BD9" s="107"/>
      <c r="BE9" s="107"/>
      <c r="BF9" s="107"/>
      <c r="BG9" s="107"/>
      <c r="BH9" s="107"/>
      <c r="BI9" s="107"/>
      <c r="BJ9" s="107"/>
      <c r="BK9" s="107"/>
      <c r="BL9" s="107"/>
      <c r="BM9" s="107"/>
      <c r="BN9" s="107"/>
      <c r="BO9" s="107"/>
      <c r="BP9" s="107"/>
      <c r="BQ9" s="107"/>
      <c r="BR9" s="107"/>
      <c r="BS9" s="107"/>
      <c r="BT9" s="107"/>
      <c r="BU9" s="107"/>
      <c r="BV9" s="107"/>
      <c r="BW9" s="107"/>
      <c r="BX9" s="107"/>
      <c r="BY9" s="107"/>
      <c r="BZ9" s="107"/>
      <c r="CA9" s="107"/>
      <c r="CB9" s="107"/>
      <c r="CC9" s="107"/>
      <c r="CD9" s="107"/>
      <c r="CE9" s="107"/>
      <c r="CF9" s="107"/>
      <c r="CG9" s="107"/>
      <c r="CH9" s="107"/>
      <c r="CI9" s="107"/>
      <c r="CJ9" s="107"/>
      <c r="CK9" s="107"/>
      <c r="CL9" s="107"/>
      <c r="CM9" s="107"/>
      <c r="CN9" s="107"/>
      <c r="CO9" s="107"/>
      <c r="CP9" s="107"/>
      <c r="CQ9" s="107"/>
      <c r="CR9" s="107"/>
      <c r="CS9" s="107"/>
      <c r="CT9" s="107"/>
      <c r="CU9" s="107"/>
      <c r="CV9" s="107"/>
      <c r="CW9" s="107"/>
      <c r="CX9" s="107"/>
      <c r="CY9" s="107"/>
      <c r="CZ9" s="107"/>
      <c r="DA9" s="107"/>
      <c r="DB9" s="107"/>
      <c r="DC9" s="107"/>
      <c r="DD9" s="107"/>
      <c r="DE9" s="107"/>
      <c r="DF9" s="107"/>
      <c r="DG9" s="107"/>
      <c r="DH9" s="107"/>
      <c r="DI9" s="107"/>
      <c r="DJ9" s="107"/>
      <c r="DK9" s="107"/>
      <c r="DL9" s="107"/>
      <c r="DM9" s="107"/>
      <c r="DN9" s="107"/>
      <c r="DO9" s="107"/>
      <c r="DP9" s="107"/>
      <c r="DQ9" s="107"/>
      <c r="DR9" s="107"/>
      <c r="DS9" s="107"/>
      <c r="DT9" s="107"/>
      <c r="DU9" s="107"/>
      <c r="DV9" s="107"/>
      <c r="DW9" s="107"/>
      <c r="DX9" s="107"/>
      <c r="DY9" s="107"/>
      <c r="DZ9" s="107"/>
      <c r="EA9" s="107"/>
      <c r="EB9" s="107"/>
      <c r="EC9" s="107"/>
      <c r="ED9" s="107"/>
    </row>
    <row r="10" spans="2:134" ht="21" customHeight="1" x14ac:dyDescent="0.2">
      <c r="C10" s="73"/>
      <c r="D10" s="73"/>
      <c r="E10" s="73"/>
      <c r="F10" s="73"/>
      <c r="G10" s="73"/>
      <c r="H10" s="73"/>
      <c r="I10" s="73"/>
      <c r="J10" s="73"/>
      <c r="K10" s="73"/>
      <c r="L10" s="73"/>
      <c r="M10" s="73"/>
    </row>
    <row r="11" spans="2:134" ht="21" customHeight="1" x14ac:dyDescent="0.2">
      <c r="D11" s="74"/>
    </row>
    <row r="12" spans="2:134" s="6" customFormat="1" ht="21" customHeight="1" x14ac:dyDescent="0.2">
      <c r="B12" s="22"/>
    </row>
    <row r="13" spans="2:134" s="6" customFormat="1" ht="21" customHeight="1" x14ac:dyDescent="0.2">
      <c r="B13" s="22"/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91"/>
      <c r="O13" s="91"/>
      <c r="P13" s="91"/>
      <c r="Q13" s="91"/>
      <c r="R13" s="91"/>
      <c r="S13" s="91"/>
      <c r="T13" s="91"/>
      <c r="U13" s="91"/>
      <c r="V13" s="91"/>
      <c r="W13" s="91"/>
      <c r="X13" s="91"/>
      <c r="Y13" s="91"/>
      <c r="Z13" s="91"/>
      <c r="AA13" s="91"/>
      <c r="AB13" s="91"/>
      <c r="AC13" s="91"/>
      <c r="AD13" s="91"/>
      <c r="AE13" s="91"/>
      <c r="AF13" s="91"/>
      <c r="AG13" s="91"/>
      <c r="AH13" s="91"/>
      <c r="AI13" s="91"/>
      <c r="AJ13" s="91"/>
      <c r="AK13" s="91"/>
      <c r="AL13" s="91"/>
      <c r="AM13" s="91"/>
      <c r="AN13" s="91"/>
      <c r="AO13" s="91"/>
      <c r="AP13" s="91"/>
      <c r="AQ13" s="91"/>
      <c r="AR13" s="91"/>
      <c r="AS13" s="91"/>
      <c r="AT13" s="91"/>
      <c r="AU13" s="91"/>
      <c r="AV13" s="91"/>
      <c r="AW13" s="91"/>
      <c r="AX13" s="91"/>
      <c r="AY13" s="91"/>
      <c r="AZ13" s="91"/>
      <c r="BA13" s="91"/>
      <c r="BB13" s="91"/>
      <c r="BC13" s="91"/>
      <c r="BD13" s="91"/>
      <c r="BE13" s="91"/>
      <c r="BF13" s="91"/>
      <c r="BG13" s="91"/>
      <c r="BH13" s="91"/>
      <c r="BI13" s="91"/>
      <c r="BJ13" s="91"/>
      <c r="BK13" s="91"/>
      <c r="BL13" s="91"/>
      <c r="BM13" s="91"/>
      <c r="BN13" s="91"/>
      <c r="BO13" s="91"/>
      <c r="BP13" s="91"/>
      <c r="BQ13" s="91"/>
      <c r="BR13" s="91"/>
      <c r="BS13" s="91"/>
      <c r="BT13" s="91"/>
      <c r="BU13" s="91"/>
      <c r="BV13" s="91"/>
      <c r="BW13" s="91"/>
      <c r="BX13" s="91"/>
      <c r="BY13" s="91"/>
      <c r="BZ13" s="91"/>
      <c r="CA13" s="91"/>
      <c r="CB13" s="91"/>
      <c r="CC13" s="91"/>
      <c r="CD13" s="91"/>
      <c r="CE13" s="91"/>
      <c r="CF13" s="91"/>
      <c r="CG13" s="91"/>
      <c r="CH13" s="91"/>
      <c r="CI13" s="91"/>
      <c r="CJ13" s="91"/>
      <c r="CK13" s="91"/>
      <c r="CL13" s="91"/>
      <c r="CM13" s="91"/>
      <c r="CN13" s="91"/>
      <c r="CO13" s="91"/>
      <c r="CP13" s="91"/>
      <c r="CQ13" s="91"/>
      <c r="CR13" s="91"/>
      <c r="CS13" s="91"/>
      <c r="CT13" s="91"/>
      <c r="CU13" s="91"/>
      <c r="CV13" s="91"/>
      <c r="CW13" s="91"/>
      <c r="CX13" s="91"/>
      <c r="CY13" s="91"/>
      <c r="CZ13" s="91"/>
      <c r="DA13" s="91"/>
      <c r="DB13" s="91"/>
      <c r="DC13" s="91"/>
      <c r="DD13" s="91"/>
      <c r="DE13" s="91"/>
      <c r="DF13" s="91"/>
      <c r="DG13" s="91"/>
      <c r="DH13" s="91"/>
      <c r="DI13" s="91"/>
      <c r="DJ13" s="91"/>
      <c r="DK13" s="91"/>
      <c r="DL13" s="91"/>
      <c r="DM13" s="91"/>
      <c r="DN13" s="91"/>
      <c r="DO13" s="91"/>
      <c r="DP13" s="91"/>
      <c r="DQ13" s="91"/>
      <c r="DR13" s="91"/>
      <c r="DS13" s="91"/>
      <c r="DT13" s="91"/>
      <c r="DU13" s="91"/>
      <c r="DV13" s="91"/>
      <c r="DW13" s="91"/>
      <c r="DX13" s="91"/>
      <c r="DY13" s="91"/>
      <c r="DZ13" s="91"/>
      <c r="EA13" s="91"/>
      <c r="EB13" s="91"/>
      <c r="EC13" s="91"/>
      <c r="ED13" s="91"/>
    </row>
    <row r="14" spans="2:134" ht="21" customHeight="1" x14ac:dyDescent="0.2">
      <c r="C14" s="25"/>
      <c r="D14" s="26"/>
      <c r="E14" s="26"/>
      <c r="F14" s="26"/>
      <c r="G14" s="26"/>
      <c r="H14" s="26"/>
      <c r="I14" s="26"/>
      <c r="J14" s="26"/>
      <c r="K14" s="26"/>
      <c r="L14" s="26"/>
      <c r="M14" s="26"/>
    </row>
    <row r="15" spans="2:134" ht="21" customHeight="1" x14ac:dyDescent="0.2">
      <c r="C15" s="25"/>
      <c r="D15" s="26"/>
      <c r="E15" s="26"/>
      <c r="F15" s="26"/>
      <c r="G15" s="26"/>
      <c r="H15" s="26"/>
      <c r="I15" s="26"/>
      <c r="J15" s="26"/>
      <c r="K15" s="26"/>
      <c r="L15" s="26"/>
      <c r="M15" s="26"/>
    </row>
    <row r="16" spans="2:134" s="23" customFormat="1" ht="21" customHeight="1" x14ac:dyDescent="0.2">
      <c r="B16" s="22"/>
      <c r="C16" s="27"/>
      <c r="D16" s="28"/>
      <c r="E16" s="28"/>
      <c r="F16" s="28"/>
      <c r="G16" s="28"/>
      <c r="H16" s="28"/>
      <c r="I16" s="28"/>
      <c r="J16" s="28"/>
      <c r="K16" s="28"/>
      <c r="L16" s="28"/>
      <c r="M16" s="28"/>
    </row>
    <row r="17" spans="3:13" ht="21" customHeight="1" x14ac:dyDescent="0.2">
      <c r="C17" s="25"/>
      <c r="D17" s="26"/>
      <c r="E17" s="26"/>
      <c r="F17" s="26"/>
      <c r="G17" s="26"/>
      <c r="H17" s="26"/>
      <c r="I17" s="26"/>
      <c r="J17" s="26"/>
      <c r="K17" s="26"/>
      <c r="L17" s="26"/>
      <c r="M17" s="26"/>
    </row>
    <row r="18" spans="3:13" ht="21" customHeight="1" x14ac:dyDescent="0.2">
      <c r="C18" s="29"/>
      <c r="D18" s="30"/>
      <c r="E18" s="30"/>
      <c r="F18" s="30"/>
      <c r="G18" s="30"/>
      <c r="H18" s="30"/>
      <c r="I18" s="30"/>
      <c r="J18" s="30"/>
      <c r="K18" s="30"/>
      <c r="L18" s="30"/>
      <c r="M18" s="30"/>
    </row>
    <row r="23" spans="3:13" x14ac:dyDescent="0.2">
      <c r="C23" s="74"/>
      <c r="D23" s="74"/>
      <c r="E23" s="74"/>
      <c r="F23" s="74"/>
      <c r="G23" s="74"/>
      <c r="H23" s="74"/>
      <c r="I23" s="74"/>
      <c r="J23" s="74"/>
      <c r="K23" s="74"/>
      <c r="L23" s="74"/>
      <c r="M23" s="74"/>
    </row>
    <row r="79" spans="5:5" x14ac:dyDescent="0.2">
      <c r="E79" s="47"/>
    </row>
  </sheetData>
  <printOptions horizontalCentered="1"/>
  <pageMargins left="0.7" right="0.7" top="0.2" bottom="0.2" header="0.3" footer="0.3"/>
  <pageSetup paperSize="9" scale="53" orientation="landscape" horizontalDpi="0" verticalDpi="0"/>
  <headerFooter>
    <oddHeader>&amp;A</oddHeader>
  </headerFooter>
  <drawing r:id="rId1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FAB1A9B4-5C50-4E42-8C73-D8DA4DBABC2E}">
          <x14:colorSeries theme="5"/>
          <x14:colorNegative theme="6"/>
          <x14:colorAxis rgb="FF000000"/>
          <x14:colorMarkers theme="5" tint="-0.249977111117893"/>
          <x14:colorFirst theme="5" tint="-0.249977111117893"/>
          <x14:colorLast theme="5" tint="-0.249977111117893"/>
          <x14:colorHigh theme="5" tint="-0.249977111117893"/>
          <x14:colorLow theme="5" tint="-0.249977111117893"/>
          <x14:sparklines>
            <x14:sparkline>
              <xm:f>'TE Office (y)'!C17:M17</xm:f>
              <xm:sqref>N17</xm:sqref>
            </x14:sparkline>
            <x14:sparkline>
              <xm:f>'TE Office (y)'!C18:M18</xm:f>
              <xm:sqref>N18</xm:sqref>
            </x14:sparkline>
          </x14:sparklines>
        </x14:sparklineGroup>
      </x14:sparklineGroup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4FD92-B60A-454B-B7DF-148089CDF349}">
  <sheetPr>
    <pageSetUpPr fitToPage="1"/>
  </sheetPr>
  <dimension ref="B3:N73"/>
  <sheetViews>
    <sheetView showGridLines="0" zoomScale="114" zoomScaleNormal="100" workbookViewId="0">
      <selection activeCell="D19" sqref="D19:N19"/>
    </sheetView>
  </sheetViews>
  <sheetFormatPr baseColWidth="10" defaultRowHeight="16" x14ac:dyDescent="0.2"/>
  <cols>
    <col min="1" max="2" width="10.83203125" style="1"/>
    <col min="3" max="3" width="10.83203125" style="22"/>
    <col min="4" max="14" width="15.1640625" style="1" customWidth="1"/>
    <col min="15" max="16384" width="10.83203125" style="1"/>
  </cols>
  <sheetData>
    <row r="3" spans="2:14" s="6" customFormat="1" ht="21" customHeight="1" x14ac:dyDescent="0.2">
      <c r="C3" s="22" t="s">
        <v>109</v>
      </c>
      <c r="D3" s="6">
        <v>0</v>
      </c>
      <c r="E3" s="6">
        <v>1</v>
      </c>
      <c r="F3" s="6">
        <v>2</v>
      </c>
      <c r="G3" s="6">
        <v>3</v>
      </c>
      <c r="H3" s="6">
        <v>4</v>
      </c>
      <c r="I3" s="6">
        <v>5</v>
      </c>
      <c r="J3" s="6">
        <v>6</v>
      </c>
      <c r="K3" s="6">
        <v>7</v>
      </c>
      <c r="L3" s="6">
        <v>8</v>
      </c>
      <c r="M3" s="6">
        <v>9</v>
      </c>
      <c r="N3" s="6">
        <v>10</v>
      </c>
    </row>
    <row r="4" spans="2:14" s="6" customFormat="1" ht="21" customHeight="1" x14ac:dyDescent="0.2">
      <c r="B4" s="6" t="s">
        <v>107</v>
      </c>
      <c r="C4" s="22" t="s">
        <v>64</v>
      </c>
      <c r="D4" s="111">
        <v>2023</v>
      </c>
      <c r="E4" s="111">
        <v>2024</v>
      </c>
      <c r="F4" s="111">
        <v>2025</v>
      </c>
      <c r="G4" s="111">
        <v>2026</v>
      </c>
      <c r="H4" s="111">
        <v>2027</v>
      </c>
      <c r="I4" s="111">
        <v>2028</v>
      </c>
      <c r="J4" s="111">
        <v>2029</v>
      </c>
      <c r="K4" s="111">
        <v>2030</v>
      </c>
      <c r="L4" s="111">
        <v>2031</v>
      </c>
      <c r="M4" s="111">
        <v>2032</v>
      </c>
      <c r="N4" s="111">
        <v>2033</v>
      </c>
    </row>
    <row r="5" spans="2:14" s="6" customFormat="1" ht="21" customHeight="1" x14ac:dyDescent="0.2">
      <c r="B5" s="110">
        <v>60456.72</v>
      </c>
      <c r="C5" s="22" t="s">
        <v>108</v>
      </c>
      <c r="D5" s="97">
        <f>'TE Office (y)'!C8</f>
        <v>48164.738639265204</v>
      </c>
      <c r="E5" s="97">
        <f>'TE Office (y)'!D8</f>
        <v>53745.103276055306</v>
      </c>
      <c r="F5" s="97">
        <f>'TE Office (y)'!E8</f>
        <v>53741.178276055311</v>
      </c>
      <c r="G5" s="97">
        <f>'TE Office (y)'!F8</f>
        <v>53480.768276055307</v>
      </c>
      <c r="H5" s="97">
        <f>'TE Office (y)'!G8</f>
        <v>52760.082441714658</v>
      </c>
      <c r="I5" s="97">
        <f>'TE Office (y)'!H8</f>
        <v>52905.969313511392</v>
      </c>
      <c r="J5" s="97">
        <f>'TE Office (y)'!I8</f>
        <v>53644.366813511406</v>
      </c>
      <c r="K5" s="97">
        <f>'TE Office (y)'!J8</f>
        <v>53254.949313511403</v>
      </c>
      <c r="L5" s="97">
        <f>'TE Office (y)'!K8</f>
        <v>54028.789313511399</v>
      </c>
      <c r="M5" s="97">
        <f>'TE Office (y)'!L8</f>
        <v>54028.789313511399</v>
      </c>
      <c r="N5" s="97">
        <f>'TE Office (y)'!M8</f>
        <v>54028.789313511399</v>
      </c>
    </row>
    <row r="6" spans="2:14" ht="21" customHeight="1" x14ac:dyDescent="0.2">
      <c r="B6" s="47">
        <v>1021.86</v>
      </c>
      <c r="C6" s="22" t="s">
        <v>104</v>
      </c>
      <c r="D6" s="98">
        <f>AVERAGE('TE All % (m)'!D6:O6)</f>
        <v>936.5400000000003</v>
      </c>
      <c r="E6" s="98">
        <f>AVERAGE('TE All % (m)'!P6:AA6)</f>
        <v>936.5400000000003</v>
      </c>
      <c r="F6" s="98">
        <f>AVERAGE('TE All % (m)'!AB6:AM6)</f>
        <v>936.5400000000003</v>
      </c>
      <c r="G6" s="98">
        <f>AVERAGE('TE All % (m)'!AN6:AY6)</f>
        <v>936.5400000000003</v>
      </c>
      <c r="H6" s="98">
        <f>AVERAGE('TE All % (m)'!AZ6:BK6)</f>
        <v>936.5400000000003</v>
      </c>
      <c r="I6" s="98">
        <f>AVERAGE('TE All % (m)'!BL6:BW6)</f>
        <v>936.5400000000003</v>
      </c>
      <c r="J6" s="98">
        <f>AVERAGE('TE All % (m)'!BX6:CI6)</f>
        <v>936.5400000000003</v>
      </c>
      <c r="K6" s="98">
        <f>AVERAGE('TE All % (m)'!CJ6:CU6)</f>
        <v>936.5400000000003</v>
      </c>
      <c r="L6" s="98">
        <f>AVERAGE('TE All % (m)'!CV6:DG6)</f>
        <v>936.5400000000003</v>
      </c>
      <c r="M6" s="98">
        <f>AVERAGE('TE All % (m)'!DH6:DS6)</f>
        <v>936.5400000000003</v>
      </c>
      <c r="N6" s="98">
        <f>AVERAGE('TE All % (m)'!DT6:EE6)</f>
        <v>936.5400000000003</v>
      </c>
    </row>
    <row r="7" spans="2:14" ht="21" customHeight="1" x14ac:dyDescent="0.2">
      <c r="B7" s="47">
        <v>2912.71</v>
      </c>
      <c r="C7" s="22" t="s">
        <v>105</v>
      </c>
      <c r="D7" s="98">
        <f>AVERAGE('TE All % (m)'!D7:O7)</f>
        <v>2904.599999999999</v>
      </c>
      <c r="E7" s="98">
        <f>AVERAGE('TE All % (m)'!P7:AA7)</f>
        <v>2904.599999999999</v>
      </c>
      <c r="F7" s="98">
        <f>AVERAGE('TE All % (m)'!AB7:AM7)</f>
        <v>2904.599999999999</v>
      </c>
      <c r="G7" s="98">
        <f>AVERAGE('TE All % (m)'!AN7:AY7)</f>
        <v>2904.599999999999</v>
      </c>
      <c r="H7" s="98">
        <f>AVERAGE('TE All % (m)'!AZ7:BK7)</f>
        <v>2904.599999999999</v>
      </c>
      <c r="I7" s="98">
        <f>AVERAGE('TE All % (m)'!BL7:BW7)</f>
        <v>2904.599999999999</v>
      </c>
      <c r="J7" s="98">
        <f>AVERAGE('TE All % (m)'!BX7:CI7)</f>
        <v>2904.599999999999</v>
      </c>
      <c r="K7" s="98">
        <f>AVERAGE('TE All % (m)'!CJ7:CU7)</f>
        <v>2904.599999999999</v>
      </c>
      <c r="L7" s="98">
        <f>AVERAGE('TE All % (m)'!CV7:DG7)</f>
        <v>2904.599999999999</v>
      </c>
      <c r="M7" s="98">
        <f>AVERAGE('TE All % (m)'!DH7:DS7)</f>
        <v>2904.599999999999</v>
      </c>
      <c r="N7" s="98">
        <f>AVERAGE('TE All % (m)'!DT7:EE7)</f>
        <v>2904.599999999999</v>
      </c>
    </row>
    <row r="8" spans="2:14" s="23" customFormat="1" ht="21" customHeight="1" x14ac:dyDescent="0.2">
      <c r="B8" s="47">
        <v>1215.01</v>
      </c>
      <c r="C8" s="22" t="s">
        <v>106</v>
      </c>
      <c r="D8" s="98">
        <f>AVERAGE('TE All % (m)'!D8:O8)</f>
        <v>1215.01</v>
      </c>
      <c r="E8" s="98">
        <f>AVERAGE('TE All % (m)'!P8:AA8)</f>
        <v>1215.01</v>
      </c>
      <c r="F8" s="98">
        <f>AVERAGE('TE All % (m)'!AB8:AM8)</f>
        <v>1215.01</v>
      </c>
      <c r="G8" s="98">
        <f>AVERAGE('TE All % (m)'!AN8:AY8)</f>
        <v>1215.01</v>
      </c>
      <c r="H8" s="98">
        <f>AVERAGE('TE All % (m)'!AZ8:BK8)</f>
        <v>1215.01</v>
      </c>
      <c r="I8" s="98">
        <f>AVERAGE('TE All % (m)'!BL8:BW8)</f>
        <v>1215.01</v>
      </c>
      <c r="J8" s="98">
        <f>AVERAGE('TE All % (m)'!BX8:CI8)</f>
        <v>1215.01</v>
      </c>
      <c r="K8" s="98">
        <f>AVERAGE('TE All % (m)'!CJ8:CU8)</f>
        <v>1215.01</v>
      </c>
      <c r="L8" s="98">
        <f>AVERAGE('TE All % (m)'!CV8:DG8)</f>
        <v>1215.01</v>
      </c>
      <c r="M8" s="98">
        <f>AVERAGE('TE All % (m)'!DH8:DS8)</f>
        <v>1215.01</v>
      </c>
      <c r="N8" s="98">
        <f>AVERAGE('TE All % (m)'!DT8:EE8)</f>
        <v>1215.01</v>
      </c>
    </row>
    <row r="9" spans="2:14" ht="21" customHeight="1" x14ac:dyDescent="0.2">
      <c r="B9" s="109">
        <f>SUM(B5:B8)</f>
        <v>65606.3</v>
      </c>
      <c r="C9" s="22" t="s">
        <v>67</v>
      </c>
      <c r="D9" s="104">
        <f>SUM(D5:D8)</f>
        <v>53220.888639265206</v>
      </c>
      <c r="E9" s="104">
        <f t="shared" ref="E9:N9" si="0">SUM(E5:E8)</f>
        <v>58801.253276055308</v>
      </c>
      <c r="F9" s="104">
        <f t="shared" si="0"/>
        <v>58797.328276055312</v>
      </c>
      <c r="G9" s="104">
        <f t="shared" si="0"/>
        <v>58536.918276055309</v>
      </c>
      <c r="H9" s="104">
        <f t="shared" si="0"/>
        <v>57816.232441714659</v>
      </c>
      <c r="I9" s="104">
        <f t="shared" si="0"/>
        <v>57962.119313511394</v>
      </c>
      <c r="J9" s="104">
        <f t="shared" si="0"/>
        <v>58700.516813511407</v>
      </c>
      <c r="K9" s="104">
        <f t="shared" si="0"/>
        <v>58311.099313511404</v>
      </c>
      <c r="L9" s="104">
        <f t="shared" si="0"/>
        <v>59084.939313511401</v>
      </c>
      <c r="M9" s="104">
        <f t="shared" si="0"/>
        <v>59084.939313511401</v>
      </c>
      <c r="N9" s="104">
        <f t="shared" si="0"/>
        <v>59084.939313511401</v>
      </c>
    </row>
    <row r="10" spans="2:14" ht="21" customHeight="1" x14ac:dyDescent="0.2">
      <c r="D10" s="96"/>
      <c r="E10" s="96"/>
      <c r="F10" s="96"/>
      <c r="G10" s="96"/>
      <c r="H10" s="96"/>
      <c r="I10" s="96"/>
      <c r="J10" s="96"/>
      <c r="K10" s="96"/>
      <c r="L10" s="96"/>
      <c r="M10" s="96"/>
      <c r="N10" s="96"/>
    </row>
    <row r="11" spans="2:14" ht="21" customHeight="1" x14ac:dyDescent="0.2">
      <c r="D11" s="73"/>
      <c r="E11" s="73"/>
      <c r="F11" s="73"/>
      <c r="G11" s="73"/>
      <c r="H11" s="73"/>
      <c r="I11" s="73"/>
      <c r="J11" s="73"/>
      <c r="K11" s="73"/>
      <c r="L11" s="73"/>
      <c r="M11" s="73"/>
      <c r="N11" s="73"/>
    </row>
    <row r="12" spans="2:14" ht="21" customHeight="1" x14ac:dyDescent="0.2">
      <c r="E12" s="74"/>
    </row>
    <row r="13" spans="2:14" s="6" customFormat="1" ht="21" customHeight="1" x14ac:dyDescent="0.2">
      <c r="C13" s="22" t="s">
        <v>110</v>
      </c>
      <c r="D13" s="6">
        <v>0</v>
      </c>
      <c r="E13" s="6">
        <v>1</v>
      </c>
      <c r="F13" s="6">
        <v>2</v>
      </c>
      <c r="G13" s="6">
        <v>3</v>
      </c>
      <c r="H13" s="6">
        <v>4</v>
      </c>
      <c r="I13" s="6">
        <v>5</v>
      </c>
      <c r="J13" s="6">
        <v>6</v>
      </c>
      <c r="K13" s="6">
        <v>7</v>
      </c>
      <c r="L13" s="6">
        <v>8</v>
      </c>
      <c r="M13" s="6">
        <v>9</v>
      </c>
      <c r="N13" s="6">
        <v>10</v>
      </c>
    </row>
    <row r="14" spans="2:14" s="6" customFormat="1" ht="21" customHeight="1" x14ac:dyDescent="0.2">
      <c r="C14" s="22" t="s">
        <v>64</v>
      </c>
      <c r="D14" s="111">
        <v>2023</v>
      </c>
      <c r="E14" s="111">
        <v>2024</v>
      </c>
      <c r="F14" s="111">
        <v>2025</v>
      </c>
      <c r="G14" s="111">
        <v>2026</v>
      </c>
      <c r="H14" s="111">
        <v>2027</v>
      </c>
      <c r="I14" s="111">
        <v>2028</v>
      </c>
      <c r="J14" s="111">
        <v>2029</v>
      </c>
      <c r="K14" s="111">
        <v>2030</v>
      </c>
      <c r="L14" s="111">
        <v>2031</v>
      </c>
      <c r="M14" s="111">
        <v>2032</v>
      </c>
      <c r="N14" s="111">
        <v>2033</v>
      </c>
    </row>
    <row r="15" spans="2:14" s="100" customFormat="1" ht="21" customHeight="1" x14ac:dyDescent="0.2">
      <c r="C15" s="101" t="s">
        <v>108</v>
      </c>
      <c r="D15" s="102">
        <f>D5/$B$5</f>
        <v>0.79668130588733899</v>
      </c>
      <c r="E15" s="102">
        <f t="shared" ref="E15:N15" si="1">E5/$B$5</f>
        <v>0.8889847692044045</v>
      </c>
      <c r="F15" s="102">
        <f t="shared" si="1"/>
        <v>0.88891984672763114</v>
      </c>
      <c r="G15" s="102">
        <f t="shared" si="1"/>
        <v>0.88461246782913971</v>
      </c>
      <c r="H15" s="102">
        <f t="shared" si="1"/>
        <v>0.87269177755119132</v>
      </c>
      <c r="I15" s="102">
        <f t="shared" si="1"/>
        <v>0.8751048570533001</v>
      </c>
      <c r="J15" s="102">
        <f t="shared" si="1"/>
        <v>0.88731851171402298</v>
      </c>
      <c r="K15" s="102">
        <f t="shared" si="1"/>
        <v>0.88087725092448621</v>
      </c>
      <c r="L15" s="102">
        <f t="shared" si="1"/>
        <v>0.89367715141528348</v>
      </c>
      <c r="M15" s="102">
        <f t="shared" si="1"/>
        <v>0.89367715141528348</v>
      </c>
      <c r="N15" s="102">
        <f t="shared" si="1"/>
        <v>0.89367715141528348</v>
      </c>
    </row>
    <row r="16" spans="2:14" ht="21" customHeight="1" x14ac:dyDescent="0.2">
      <c r="C16" s="22" t="s">
        <v>104</v>
      </c>
      <c r="D16" s="103">
        <f>D6/$B$6</f>
        <v>0.91650519640655304</v>
      </c>
      <c r="E16" s="103">
        <f t="shared" ref="E16:N16" si="2">E6/$B$6</f>
        <v>0.91650519640655304</v>
      </c>
      <c r="F16" s="103">
        <f t="shared" si="2"/>
        <v>0.91650519640655304</v>
      </c>
      <c r="G16" s="103">
        <f t="shared" si="2"/>
        <v>0.91650519640655304</v>
      </c>
      <c r="H16" s="103">
        <f t="shared" si="2"/>
        <v>0.91650519640655304</v>
      </c>
      <c r="I16" s="103">
        <f t="shared" si="2"/>
        <v>0.91650519640655304</v>
      </c>
      <c r="J16" s="103">
        <f t="shared" si="2"/>
        <v>0.91650519640655304</v>
      </c>
      <c r="K16" s="103">
        <f t="shared" si="2"/>
        <v>0.91650519640655304</v>
      </c>
      <c r="L16" s="103">
        <f t="shared" si="2"/>
        <v>0.91650519640655304</v>
      </c>
      <c r="M16" s="103">
        <f t="shared" si="2"/>
        <v>0.91650519640655304</v>
      </c>
      <c r="N16" s="103">
        <f t="shared" si="2"/>
        <v>0.91650519640655304</v>
      </c>
    </row>
    <row r="17" spans="3:14" ht="21" customHeight="1" x14ac:dyDescent="0.2">
      <c r="C17" s="22" t="s">
        <v>105</v>
      </c>
      <c r="D17" s="103">
        <f>D7/$B$7</f>
        <v>0.9972156514036753</v>
      </c>
      <c r="E17" s="103">
        <f t="shared" ref="E17:N17" si="3">E7/$B$7</f>
        <v>0.9972156514036753</v>
      </c>
      <c r="F17" s="103">
        <f t="shared" si="3"/>
        <v>0.9972156514036753</v>
      </c>
      <c r="G17" s="103">
        <f t="shared" si="3"/>
        <v>0.9972156514036753</v>
      </c>
      <c r="H17" s="103">
        <f t="shared" si="3"/>
        <v>0.9972156514036753</v>
      </c>
      <c r="I17" s="103">
        <f t="shared" si="3"/>
        <v>0.9972156514036753</v>
      </c>
      <c r="J17" s="103">
        <f t="shared" si="3"/>
        <v>0.9972156514036753</v>
      </c>
      <c r="K17" s="103">
        <f t="shared" si="3"/>
        <v>0.9972156514036753</v>
      </c>
      <c r="L17" s="103">
        <f t="shared" si="3"/>
        <v>0.9972156514036753</v>
      </c>
      <c r="M17" s="103">
        <f t="shared" si="3"/>
        <v>0.9972156514036753</v>
      </c>
      <c r="N17" s="103">
        <f t="shared" si="3"/>
        <v>0.9972156514036753</v>
      </c>
    </row>
    <row r="18" spans="3:14" s="23" customFormat="1" ht="21" customHeight="1" x14ac:dyDescent="0.2">
      <c r="C18" s="22" t="s">
        <v>106</v>
      </c>
      <c r="D18" s="103">
        <f>D8/$B$8</f>
        <v>1</v>
      </c>
      <c r="E18" s="103">
        <f t="shared" ref="E18:N18" si="4">E8/$B$8</f>
        <v>1</v>
      </c>
      <c r="F18" s="103">
        <f t="shared" si="4"/>
        <v>1</v>
      </c>
      <c r="G18" s="103">
        <f t="shared" si="4"/>
        <v>1</v>
      </c>
      <c r="H18" s="103">
        <f t="shared" si="4"/>
        <v>1</v>
      </c>
      <c r="I18" s="103">
        <f t="shared" si="4"/>
        <v>1</v>
      </c>
      <c r="J18" s="103">
        <f t="shared" si="4"/>
        <v>1</v>
      </c>
      <c r="K18" s="103">
        <f t="shared" si="4"/>
        <v>1</v>
      </c>
      <c r="L18" s="103">
        <f t="shared" si="4"/>
        <v>1</v>
      </c>
      <c r="M18" s="103">
        <f t="shared" si="4"/>
        <v>1</v>
      </c>
      <c r="N18" s="103">
        <f t="shared" si="4"/>
        <v>1</v>
      </c>
    </row>
    <row r="19" spans="3:14" ht="21" customHeight="1" x14ac:dyDescent="0.2">
      <c r="C19" s="22" t="s">
        <v>67</v>
      </c>
      <c r="D19" s="116">
        <f>D9/$B$9</f>
        <v>0.81121612770824147</v>
      </c>
      <c r="E19" s="116">
        <f t="shared" ref="E19:N19" si="5">E9/$B$9</f>
        <v>0.89627449309068341</v>
      </c>
      <c r="F19" s="116">
        <f t="shared" si="5"/>
        <v>0.89621466651914994</v>
      </c>
      <c r="G19" s="116">
        <f t="shared" si="5"/>
        <v>0.89224538308143131</v>
      </c>
      <c r="H19" s="116">
        <f t="shared" si="5"/>
        <v>0.88126037349636632</v>
      </c>
      <c r="I19" s="116">
        <f t="shared" si="5"/>
        <v>0.88348404518333434</v>
      </c>
      <c r="J19" s="116">
        <f t="shared" si="5"/>
        <v>0.89473902374484471</v>
      </c>
      <c r="K19" s="116">
        <f t="shared" si="5"/>
        <v>0.88880335140849887</v>
      </c>
      <c r="L19" s="116">
        <f t="shared" si="5"/>
        <v>0.900598560100347</v>
      </c>
      <c r="M19" s="116">
        <f t="shared" si="5"/>
        <v>0.900598560100347</v>
      </c>
      <c r="N19" s="116">
        <f t="shared" si="5"/>
        <v>0.900598560100347</v>
      </c>
    </row>
    <row r="20" spans="3:14" ht="21" customHeight="1" x14ac:dyDescent="0.2">
      <c r="D20" s="96"/>
      <c r="E20" s="96"/>
      <c r="F20" s="96"/>
      <c r="G20" s="96"/>
      <c r="H20" s="96"/>
      <c r="I20" s="96"/>
      <c r="J20" s="96"/>
      <c r="K20" s="96"/>
      <c r="L20" s="96"/>
      <c r="M20" s="96"/>
      <c r="N20" s="96"/>
    </row>
    <row r="73" spans="6:6" x14ac:dyDescent="0.2">
      <c r="F73" s="47"/>
    </row>
  </sheetData>
  <printOptions horizontalCentered="1"/>
  <pageMargins left="0.7" right="0.7" top="0.2" bottom="0.2" header="0.3" footer="0.3"/>
  <pageSetup paperSize="9" scale="53" orientation="landscape" horizontalDpi="0" verticalDpi="0"/>
  <headerFooter>
    <oddHeader>&amp;A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CBBE6-21EA-9D49-BBB2-DE365E351B29}">
  <sheetPr>
    <pageSetUpPr fitToPage="1"/>
  </sheetPr>
  <dimension ref="B3:ED79"/>
  <sheetViews>
    <sheetView showGridLines="0" zoomScale="109" zoomScaleNormal="100" workbookViewId="0">
      <selection activeCell="K9" sqref="K9"/>
    </sheetView>
  </sheetViews>
  <sheetFormatPr baseColWidth="10" defaultRowHeight="16" x14ac:dyDescent="0.2"/>
  <cols>
    <col min="1" max="1" width="10.83203125" style="1"/>
    <col min="2" max="2" width="10.83203125" style="22"/>
    <col min="3" max="134" width="14.1640625" style="1" bestFit="1" customWidth="1"/>
    <col min="135" max="16384" width="10.83203125" style="1"/>
  </cols>
  <sheetData>
    <row r="3" spans="2:134" s="6" customFormat="1" ht="21" customHeight="1" x14ac:dyDescent="0.2">
      <c r="B3" s="22"/>
      <c r="C3" s="6">
        <v>0</v>
      </c>
      <c r="D3" s="6">
        <v>1</v>
      </c>
      <c r="E3" s="6">
        <v>2</v>
      </c>
      <c r="F3" s="6">
        <v>3</v>
      </c>
      <c r="G3" s="6">
        <v>4</v>
      </c>
      <c r="H3" s="6">
        <v>5</v>
      </c>
      <c r="I3" s="6">
        <v>6</v>
      </c>
      <c r="J3" s="6">
        <v>7</v>
      </c>
      <c r="K3" s="6">
        <v>8</v>
      </c>
      <c r="L3" s="6">
        <v>9</v>
      </c>
      <c r="M3" s="6">
        <v>10</v>
      </c>
      <c r="N3" s="6">
        <v>11</v>
      </c>
      <c r="O3" s="6">
        <v>12</v>
      </c>
      <c r="P3" s="6">
        <v>13</v>
      </c>
      <c r="Q3" s="6">
        <v>14</v>
      </c>
      <c r="R3" s="6">
        <v>15</v>
      </c>
      <c r="S3" s="6">
        <v>16</v>
      </c>
      <c r="T3" s="6">
        <v>17</v>
      </c>
      <c r="U3" s="6">
        <v>18</v>
      </c>
      <c r="V3" s="6">
        <v>19</v>
      </c>
      <c r="W3" s="6">
        <v>20</v>
      </c>
      <c r="X3" s="6">
        <v>21</v>
      </c>
      <c r="Y3" s="6">
        <v>22</v>
      </c>
      <c r="Z3" s="6">
        <v>23</v>
      </c>
      <c r="AA3" s="6">
        <v>24</v>
      </c>
      <c r="AB3" s="6">
        <v>25</v>
      </c>
      <c r="AC3" s="6">
        <v>26</v>
      </c>
      <c r="AD3" s="6">
        <v>27</v>
      </c>
      <c r="AE3" s="6">
        <v>28</v>
      </c>
      <c r="AF3" s="6">
        <v>29</v>
      </c>
      <c r="AG3" s="6">
        <v>30</v>
      </c>
      <c r="AH3" s="6">
        <v>31</v>
      </c>
      <c r="AI3" s="6">
        <v>32</v>
      </c>
      <c r="AJ3" s="6">
        <v>33</v>
      </c>
      <c r="AK3" s="6">
        <v>34</v>
      </c>
      <c r="AL3" s="6">
        <v>35</v>
      </c>
      <c r="AM3" s="6">
        <v>36</v>
      </c>
      <c r="AN3" s="6">
        <v>37</v>
      </c>
      <c r="AO3" s="6">
        <v>38</v>
      </c>
      <c r="AP3" s="6">
        <v>39</v>
      </c>
      <c r="AQ3" s="6">
        <v>40</v>
      </c>
      <c r="AR3" s="6">
        <v>41</v>
      </c>
      <c r="AS3" s="6">
        <v>42</v>
      </c>
      <c r="AT3" s="6">
        <v>43</v>
      </c>
      <c r="AU3" s="6">
        <v>44</v>
      </c>
      <c r="AV3" s="6">
        <v>45</v>
      </c>
      <c r="AW3" s="6">
        <v>46</v>
      </c>
      <c r="AX3" s="6">
        <v>47</v>
      </c>
      <c r="AY3" s="6">
        <v>48</v>
      </c>
      <c r="AZ3" s="6">
        <v>49</v>
      </c>
      <c r="BA3" s="6">
        <v>50</v>
      </c>
      <c r="BB3" s="6">
        <v>51</v>
      </c>
      <c r="BC3" s="6">
        <v>52</v>
      </c>
      <c r="BD3" s="6">
        <v>53</v>
      </c>
      <c r="BE3" s="6">
        <v>54</v>
      </c>
      <c r="BF3" s="6">
        <v>55</v>
      </c>
      <c r="BG3" s="6">
        <v>56</v>
      </c>
      <c r="BH3" s="6">
        <v>57</v>
      </c>
      <c r="BI3" s="6">
        <v>58</v>
      </c>
      <c r="BJ3" s="6">
        <v>59</v>
      </c>
      <c r="BK3" s="6">
        <v>60</v>
      </c>
      <c r="BL3" s="6">
        <v>61</v>
      </c>
      <c r="BM3" s="6">
        <v>62</v>
      </c>
      <c r="BN3" s="6">
        <v>63</v>
      </c>
      <c r="BO3" s="6">
        <v>64</v>
      </c>
      <c r="BP3" s="6">
        <v>65</v>
      </c>
      <c r="BQ3" s="6">
        <v>66</v>
      </c>
      <c r="BR3" s="6">
        <v>67</v>
      </c>
      <c r="BS3" s="6">
        <v>68</v>
      </c>
      <c r="BT3" s="6">
        <v>69</v>
      </c>
      <c r="BU3" s="6">
        <v>70</v>
      </c>
      <c r="BV3" s="6">
        <v>71</v>
      </c>
      <c r="BW3" s="6">
        <v>72</v>
      </c>
      <c r="BX3" s="6">
        <v>73</v>
      </c>
      <c r="BY3" s="6">
        <v>74</v>
      </c>
      <c r="BZ3" s="6">
        <v>75</v>
      </c>
      <c r="CA3" s="6">
        <v>76</v>
      </c>
      <c r="CB3" s="6">
        <v>77</v>
      </c>
      <c r="CC3" s="6">
        <v>78</v>
      </c>
      <c r="CD3" s="6">
        <v>79</v>
      </c>
      <c r="CE3" s="6">
        <v>80</v>
      </c>
      <c r="CF3" s="6">
        <v>81</v>
      </c>
      <c r="CG3" s="6">
        <v>82</v>
      </c>
      <c r="CH3" s="6">
        <v>83</v>
      </c>
      <c r="CI3" s="6">
        <v>84</v>
      </c>
      <c r="CJ3" s="6">
        <v>85</v>
      </c>
      <c r="CK3" s="6">
        <v>86</v>
      </c>
      <c r="CL3" s="6">
        <v>87</v>
      </c>
      <c r="CM3" s="6">
        <v>88</v>
      </c>
      <c r="CN3" s="6">
        <v>89</v>
      </c>
      <c r="CO3" s="6">
        <v>90</v>
      </c>
      <c r="CP3" s="6">
        <v>91</v>
      </c>
      <c r="CQ3" s="6">
        <v>92</v>
      </c>
      <c r="CR3" s="6">
        <v>93</v>
      </c>
      <c r="CS3" s="6">
        <v>94</v>
      </c>
      <c r="CT3" s="6">
        <v>95</v>
      </c>
      <c r="CU3" s="6">
        <v>96</v>
      </c>
      <c r="CV3" s="6">
        <v>97</v>
      </c>
      <c r="CW3" s="6">
        <v>98</v>
      </c>
      <c r="CX3" s="6">
        <v>99</v>
      </c>
      <c r="CY3" s="6">
        <v>100</v>
      </c>
      <c r="CZ3" s="6">
        <v>101</v>
      </c>
      <c r="DA3" s="6">
        <v>102</v>
      </c>
      <c r="DB3" s="6">
        <v>103</v>
      </c>
      <c r="DC3" s="6">
        <v>104</v>
      </c>
      <c r="DD3" s="6">
        <v>105</v>
      </c>
      <c r="DE3" s="6">
        <v>106</v>
      </c>
      <c r="DF3" s="6">
        <v>107</v>
      </c>
      <c r="DG3" s="6">
        <v>108</v>
      </c>
      <c r="DH3" s="6">
        <v>109</v>
      </c>
      <c r="DI3" s="6">
        <v>110</v>
      </c>
      <c r="DJ3" s="6">
        <v>111</v>
      </c>
      <c r="DK3" s="6">
        <v>112</v>
      </c>
      <c r="DL3" s="6">
        <v>113</v>
      </c>
      <c r="DM3" s="6">
        <v>114</v>
      </c>
      <c r="DN3" s="6">
        <v>115</v>
      </c>
      <c r="DO3" s="6">
        <v>116</v>
      </c>
      <c r="DP3" s="6">
        <v>117</v>
      </c>
      <c r="DQ3" s="6">
        <v>118</v>
      </c>
      <c r="DR3" s="6">
        <v>119</v>
      </c>
      <c r="DS3" s="6">
        <v>120</v>
      </c>
      <c r="DT3" s="6">
        <v>121</v>
      </c>
      <c r="DU3" s="6">
        <v>122</v>
      </c>
      <c r="DV3" s="6">
        <v>123</v>
      </c>
      <c r="DW3" s="6">
        <v>124</v>
      </c>
      <c r="DX3" s="6">
        <v>125</v>
      </c>
      <c r="DY3" s="6">
        <v>126</v>
      </c>
      <c r="DZ3" s="6">
        <v>127</v>
      </c>
      <c r="EA3" s="6">
        <v>128</v>
      </c>
      <c r="EB3" s="6">
        <v>129</v>
      </c>
      <c r="EC3" s="6">
        <v>130</v>
      </c>
      <c r="ED3" s="6">
        <v>131</v>
      </c>
    </row>
    <row r="4" spans="2:134" s="6" customFormat="1" ht="21" customHeight="1" thickBot="1" x14ac:dyDescent="0.25">
      <c r="B4" s="22" t="s">
        <v>64</v>
      </c>
      <c r="C4" s="108">
        <v>44957</v>
      </c>
      <c r="D4" s="108">
        <v>44985</v>
      </c>
      <c r="E4" s="108">
        <v>45016</v>
      </c>
      <c r="F4" s="108">
        <v>45046</v>
      </c>
      <c r="G4" s="108">
        <v>45077</v>
      </c>
      <c r="H4" s="108">
        <v>45107</v>
      </c>
      <c r="I4" s="108">
        <v>45138</v>
      </c>
      <c r="J4" s="108">
        <v>45169</v>
      </c>
      <c r="K4" s="108">
        <v>45199</v>
      </c>
      <c r="L4" s="108">
        <v>45230</v>
      </c>
      <c r="M4" s="108">
        <v>45260</v>
      </c>
      <c r="N4" s="92">
        <v>45291</v>
      </c>
      <c r="O4" s="92">
        <v>45322</v>
      </c>
      <c r="P4" s="92">
        <v>45351</v>
      </c>
      <c r="Q4" s="92">
        <v>45382</v>
      </c>
      <c r="R4" s="92">
        <v>45412</v>
      </c>
      <c r="S4" s="92">
        <v>45443</v>
      </c>
      <c r="T4" s="92">
        <v>45473</v>
      </c>
      <c r="U4" s="92">
        <v>45504</v>
      </c>
      <c r="V4" s="92">
        <v>45535</v>
      </c>
      <c r="W4" s="92">
        <v>45565</v>
      </c>
      <c r="X4" s="92">
        <v>45596</v>
      </c>
      <c r="Y4" s="92">
        <v>45626</v>
      </c>
      <c r="Z4" s="92">
        <v>45657</v>
      </c>
      <c r="AA4" s="92">
        <v>45688</v>
      </c>
      <c r="AB4" s="92">
        <v>45716</v>
      </c>
      <c r="AC4" s="92">
        <v>45747</v>
      </c>
      <c r="AD4" s="92">
        <v>45777</v>
      </c>
      <c r="AE4" s="92">
        <v>45808</v>
      </c>
      <c r="AF4" s="92">
        <v>45838</v>
      </c>
      <c r="AG4" s="92">
        <v>45869</v>
      </c>
      <c r="AH4" s="92">
        <v>45900</v>
      </c>
      <c r="AI4" s="92">
        <v>45930</v>
      </c>
      <c r="AJ4" s="92">
        <v>45961</v>
      </c>
      <c r="AK4" s="92">
        <v>45991</v>
      </c>
      <c r="AL4" s="92">
        <v>46022</v>
      </c>
      <c r="AM4" s="92">
        <v>46053</v>
      </c>
      <c r="AN4" s="92">
        <v>46081</v>
      </c>
      <c r="AO4" s="92">
        <v>46112</v>
      </c>
      <c r="AP4" s="92">
        <v>46142</v>
      </c>
      <c r="AQ4" s="92">
        <v>46173</v>
      </c>
      <c r="AR4" s="92">
        <v>46203</v>
      </c>
      <c r="AS4" s="92">
        <v>46234</v>
      </c>
      <c r="AT4" s="92">
        <v>46265</v>
      </c>
      <c r="AU4" s="92">
        <v>46295</v>
      </c>
      <c r="AV4" s="92">
        <v>46326</v>
      </c>
      <c r="AW4" s="92">
        <v>46356</v>
      </c>
      <c r="AX4" s="92">
        <v>46387</v>
      </c>
      <c r="AY4" s="92">
        <v>46418</v>
      </c>
      <c r="AZ4" s="92">
        <v>46446</v>
      </c>
      <c r="BA4" s="92">
        <v>46477</v>
      </c>
      <c r="BB4" s="92">
        <v>46507</v>
      </c>
      <c r="BC4" s="92">
        <v>46538</v>
      </c>
      <c r="BD4" s="92">
        <v>46568</v>
      </c>
      <c r="BE4" s="92">
        <v>46599</v>
      </c>
      <c r="BF4" s="92">
        <v>46630</v>
      </c>
      <c r="BG4" s="92">
        <v>46660</v>
      </c>
      <c r="BH4" s="92">
        <v>46691</v>
      </c>
      <c r="BI4" s="92">
        <v>46721</v>
      </c>
      <c r="BJ4" s="92">
        <v>46752</v>
      </c>
      <c r="BK4" s="92">
        <v>46783</v>
      </c>
      <c r="BL4" s="92">
        <v>46812</v>
      </c>
      <c r="BM4" s="92">
        <v>46843</v>
      </c>
      <c r="BN4" s="92">
        <v>46873</v>
      </c>
      <c r="BO4" s="92">
        <v>46904</v>
      </c>
      <c r="BP4" s="92">
        <v>46934</v>
      </c>
      <c r="BQ4" s="92">
        <v>46965</v>
      </c>
      <c r="BR4" s="92">
        <v>46996</v>
      </c>
      <c r="BS4" s="92">
        <v>47026</v>
      </c>
      <c r="BT4" s="92">
        <v>47057</v>
      </c>
      <c r="BU4" s="92">
        <v>47087</v>
      </c>
      <c r="BV4" s="92">
        <v>47118</v>
      </c>
      <c r="BW4" s="92">
        <v>47149</v>
      </c>
      <c r="BX4" s="92">
        <v>47177</v>
      </c>
      <c r="BY4" s="92">
        <v>47208</v>
      </c>
      <c r="BZ4" s="92">
        <v>47238</v>
      </c>
      <c r="CA4" s="92">
        <v>47269</v>
      </c>
      <c r="CB4" s="92">
        <v>47299</v>
      </c>
      <c r="CC4" s="92">
        <v>47330</v>
      </c>
      <c r="CD4" s="92">
        <v>47361</v>
      </c>
      <c r="CE4" s="92">
        <v>47391</v>
      </c>
      <c r="CF4" s="92">
        <v>47422</v>
      </c>
      <c r="CG4" s="92">
        <v>47452</v>
      </c>
      <c r="CH4" s="92">
        <v>47483</v>
      </c>
      <c r="CI4" s="92">
        <v>47514</v>
      </c>
      <c r="CJ4" s="92">
        <v>47542</v>
      </c>
      <c r="CK4" s="92">
        <v>47573</v>
      </c>
      <c r="CL4" s="92">
        <v>47603</v>
      </c>
      <c r="CM4" s="92">
        <v>47634</v>
      </c>
      <c r="CN4" s="92">
        <v>47664</v>
      </c>
      <c r="CO4" s="92">
        <v>47695</v>
      </c>
      <c r="CP4" s="92">
        <v>47726</v>
      </c>
      <c r="CQ4" s="92">
        <v>47756</v>
      </c>
      <c r="CR4" s="92">
        <v>47787</v>
      </c>
      <c r="CS4" s="92">
        <v>47817</v>
      </c>
      <c r="CT4" s="92">
        <v>47848</v>
      </c>
      <c r="CU4" s="92">
        <v>47879</v>
      </c>
      <c r="CV4" s="92">
        <v>47907</v>
      </c>
      <c r="CW4" s="92">
        <v>47938</v>
      </c>
      <c r="CX4" s="92">
        <v>47968</v>
      </c>
      <c r="CY4" s="92">
        <v>47999</v>
      </c>
      <c r="CZ4" s="92">
        <v>48029</v>
      </c>
      <c r="DA4" s="92">
        <v>48060</v>
      </c>
      <c r="DB4" s="92">
        <v>48091</v>
      </c>
      <c r="DC4" s="92">
        <v>48121</v>
      </c>
      <c r="DD4" s="92">
        <v>48152</v>
      </c>
      <c r="DE4" s="92">
        <v>48182</v>
      </c>
      <c r="DF4" s="92">
        <v>48213</v>
      </c>
      <c r="DG4" s="92">
        <v>48244</v>
      </c>
      <c r="DH4" s="92">
        <v>48273</v>
      </c>
      <c r="DI4" s="92">
        <v>48304</v>
      </c>
      <c r="DJ4" s="92">
        <v>48334</v>
      </c>
      <c r="DK4" s="92">
        <v>48365</v>
      </c>
      <c r="DL4" s="92">
        <v>48395</v>
      </c>
      <c r="DM4" s="92">
        <v>48426</v>
      </c>
      <c r="DN4" s="92">
        <v>48457</v>
      </c>
      <c r="DO4" s="92">
        <v>48487</v>
      </c>
      <c r="DP4" s="92">
        <v>48518</v>
      </c>
      <c r="DQ4" s="92">
        <v>48548</v>
      </c>
      <c r="DR4" s="92">
        <v>48579</v>
      </c>
      <c r="DS4" s="92">
        <v>48610</v>
      </c>
      <c r="DT4" s="92">
        <v>48638</v>
      </c>
      <c r="DU4" s="92">
        <v>48669</v>
      </c>
      <c r="DV4" s="92">
        <v>48699</v>
      </c>
      <c r="DW4" s="92">
        <v>48730</v>
      </c>
      <c r="DX4" s="92">
        <v>48760</v>
      </c>
      <c r="DY4" s="92">
        <v>48791</v>
      </c>
      <c r="DZ4" s="92">
        <v>48822</v>
      </c>
      <c r="EA4" s="92">
        <v>48852</v>
      </c>
      <c r="EB4" s="92">
        <v>48883</v>
      </c>
      <c r="EC4" s="92">
        <v>48913</v>
      </c>
      <c r="ED4" s="92">
        <v>48944</v>
      </c>
    </row>
    <row r="5" spans="2:134" ht="21" customHeight="1" x14ac:dyDescent="0.2">
      <c r="B5" s="22" t="s">
        <v>65</v>
      </c>
      <c r="C5" s="25">
        <v>15747440242.601452</v>
      </c>
      <c r="D5" s="26">
        <v>15747440242.601452</v>
      </c>
      <c r="E5" s="26">
        <v>15547288932.90019</v>
      </c>
      <c r="F5" s="26">
        <v>15547288932.90019</v>
      </c>
      <c r="G5" s="26">
        <v>15600980232.90019</v>
      </c>
      <c r="H5" s="26">
        <v>15600980232.90019</v>
      </c>
      <c r="I5" s="26">
        <v>17340451034.412064</v>
      </c>
      <c r="J5" s="26">
        <v>17882884409.412064</v>
      </c>
      <c r="K5" s="26">
        <v>17756010909.412064</v>
      </c>
      <c r="L5" s="26">
        <v>18248034909.412064</v>
      </c>
      <c r="M5" s="26">
        <v>18067019209.412064</v>
      </c>
      <c r="N5" s="94">
        <v>18244154834.412064</v>
      </c>
      <c r="O5" s="93">
        <v>18543376662.765541</v>
      </c>
      <c r="P5" s="93">
        <v>18524291372.765541</v>
      </c>
      <c r="Q5" s="93">
        <v>18524291372.765541</v>
      </c>
      <c r="R5" s="93">
        <v>18664115732.765541</v>
      </c>
      <c r="S5" s="93">
        <v>18648421922.765541</v>
      </c>
      <c r="T5" s="93">
        <v>18648421922.765541</v>
      </c>
      <c r="U5" s="93">
        <v>18748411322.765541</v>
      </c>
      <c r="V5" s="93">
        <v>18748411322.765541</v>
      </c>
      <c r="W5" s="93">
        <v>18748411322.765541</v>
      </c>
      <c r="X5" s="93">
        <v>18748411322.765541</v>
      </c>
      <c r="Y5" s="93">
        <v>18748411322.765541</v>
      </c>
      <c r="Z5" s="93">
        <v>18748411322.765541</v>
      </c>
      <c r="AA5" s="93">
        <v>18748411322.765541</v>
      </c>
      <c r="AB5" s="93">
        <v>18748411322.765541</v>
      </c>
      <c r="AC5" s="93">
        <v>18748411322.765541</v>
      </c>
      <c r="AD5" s="93">
        <v>18748411322.765541</v>
      </c>
      <c r="AE5" s="93">
        <v>18630860962.765541</v>
      </c>
      <c r="AF5" s="93">
        <v>18630860962.765541</v>
      </c>
      <c r="AG5" s="93">
        <v>18630860962.765541</v>
      </c>
      <c r="AH5" s="93">
        <v>18630860962.765541</v>
      </c>
      <c r="AI5" s="93">
        <v>18630860962.765541</v>
      </c>
      <c r="AJ5" s="93">
        <v>18630860962.765541</v>
      </c>
      <c r="AK5" s="93">
        <v>18652575792.765541</v>
      </c>
      <c r="AL5" s="93">
        <v>18652575792.765541</v>
      </c>
      <c r="AM5" s="93">
        <v>18652575792.765541</v>
      </c>
      <c r="AN5" s="93">
        <v>18652575792.765541</v>
      </c>
      <c r="AO5" s="93">
        <v>18652575792.765541</v>
      </c>
      <c r="AP5" s="93">
        <v>18652575792.765541</v>
      </c>
      <c r="AQ5" s="93">
        <v>18598884492.765541</v>
      </c>
      <c r="AR5" s="93">
        <v>18598884492.765541</v>
      </c>
      <c r="AS5" s="93">
        <v>18546804152.765541</v>
      </c>
      <c r="AT5" s="93">
        <v>18546804152.765541</v>
      </c>
      <c r="AU5" s="93">
        <v>18546804152.765541</v>
      </c>
      <c r="AV5" s="93">
        <v>18546804152.765541</v>
      </c>
      <c r="AW5" s="93">
        <v>18546804152.765541</v>
      </c>
      <c r="AX5" s="93">
        <v>18546804152.765541</v>
      </c>
      <c r="AY5" s="93">
        <v>18718185194.019211</v>
      </c>
      <c r="AZ5" s="93">
        <v>18718185194.019211</v>
      </c>
      <c r="BA5" s="93">
        <v>18718185194.019211</v>
      </c>
      <c r="BB5" s="93">
        <v>18718185194.019211</v>
      </c>
      <c r="BC5" s="93">
        <v>18713917579.019211</v>
      </c>
      <c r="BD5" s="93">
        <v>18713917579.019211</v>
      </c>
      <c r="BE5" s="93">
        <v>18713917579.019211</v>
      </c>
      <c r="BF5" s="93">
        <v>18713917579.019211</v>
      </c>
      <c r="BG5" s="93">
        <v>17529907279.019211</v>
      </c>
      <c r="BH5" s="93">
        <v>17529907279.019211</v>
      </c>
      <c r="BI5" s="93">
        <v>17529907279.019211</v>
      </c>
      <c r="BJ5" s="93">
        <v>17529907279.019211</v>
      </c>
      <c r="BK5" s="93">
        <v>18375141872.560696</v>
      </c>
      <c r="BL5" s="93">
        <v>18375141872.560696</v>
      </c>
      <c r="BM5" s="93">
        <v>18375141872.560696</v>
      </c>
      <c r="BN5" s="93">
        <v>18375141872.560696</v>
      </c>
      <c r="BO5" s="93">
        <v>18375141872.560696</v>
      </c>
      <c r="BP5" s="93">
        <v>18375141872.560696</v>
      </c>
      <c r="BQ5" s="93">
        <v>18375141872.560696</v>
      </c>
      <c r="BR5" s="93">
        <v>18375141872.560696</v>
      </c>
      <c r="BS5" s="93">
        <v>18375141872.560696</v>
      </c>
      <c r="BT5" s="93">
        <v>18375141872.560696</v>
      </c>
      <c r="BU5" s="93">
        <v>18375141872.560696</v>
      </c>
      <c r="BV5" s="93">
        <v>18375141872.560696</v>
      </c>
      <c r="BW5" s="93">
        <v>18726343447.560696</v>
      </c>
      <c r="BX5" s="93">
        <v>18726343447.560696</v>
      </c>
      <c r="BY5" s="93">
        <v>18726343447.560696</v>
      </c>
      <c r="BZ5" s="93">
        <v>18611407447.560696</v>
      </c>
      <c r="CA5" s="93">
        <v>18720162797.560696</v>
      </c>
      <c r="CB5" s="93">
        <v>18720162797.560696</v>
      </c>
      <c r="CC5" s="93">
        <v>19680105101.321899</v>
      </c>
      <c r="CD5" s="93">
        <v>19602325946.321899</v>
      </c>
      <c r="CE5" s="93">
        <v>19602325946.321899</v>
      </c>
      <c r="CF5" s="93">
        <v>19602325946.321899</v>
      </c>
      <c r="CG5" s="93">
        <v>19602325946.321899</v>
      </c>
      <c r="CH5" s="93">
        <v>19602325946.321899</v>
      </c>
      <c r="CI5" s="93">
        <v>19218350421.321899</v>
      </c>
      <c r="CJ5" s="93">
        <v>19218350421.321899</v>
      </c>
      <c r="CK5" s="93">
        <v>19218350421.321899</v>
      </c>
      <c r="CL5" s="93">
        <v>19218350421.321899</v>
      </c>
      <c r="CM5" s="93">
        <v>19218350421.321899</v>
      </c>
      <c r="CN5" s="93">
        <v>19218350421.321899</v>
      </c>
      <c r="CO5" s="93">
        <v>19829684021.321899</v>
      </c>
      <c r="CP5" s="93">
        <v>19829684021.321899</v>
      </c>
      <c r="CQ5" s="93">
        <v>19829684021.321899</v>
      </c>
      <c r="CR5" s="93">
        <v>19829684021.321899</v>
      </c>
      <c r="CS5" s="93">
        <v>19829684021.321899</v>
      </c>
      <c r="CT5" s="93">
        <v>19829684021.321899</v>
      </c>
      <c r="CU5" s="93">
        <v>19829684021.321899</v>
      </c>
      <c r="CV5" s="93">
        <v>19829684021.321899</v>
      </c>
      <c r="CW5" s="93">
        <v>19829684021.321899</v>
      </c>
      <c r="CX5" s="93">
        <v>19829684021.321899</v>
      </c>
      <c r="CY5" s="93">
        <v>19829684021.321899</v>
      </c>
      <c r="CZ5" s="93">
        <v>19829684021.321899</v>
      </c>
      <c r="DA5" s="93">
        <v>19829684021.321899</v>
      </c>
      <c r="DB5" s="93">
        <v>19829684021.321899</v>
      </c>
      <c r="DC5" s="93">
        <v>19829684021.321899</v>
      </c>
      <c r="DD5" s="93">
        <v>19829684021.321899</v>
      </c>
      <c r="DE5" s="93">
        <v>19829684021.321899</v>
      </c>
      <c r="DF5" s="93">
        <v>19829684021.321899</v>
      </c>
      <c r="DG5" s="93">
        <v>19829684021.321899</v>
      </c>
      <c r="DH5" s="93">
        <v>19829684021.321899</v>
      </c>
      <c r="DI5" s="93">
        <v>19829684021.321899</v>
      </c>
      <c r="DJ5" s="93">
        <v>19829684021.321899</v>
      </c>
      <c r="DK5" s="93">
        <v>19829684021.321899</v>
      </c>
      <c r="DL5" s="93">
        <v>19829684021.321899</v>
      </c>
      <c r="DM5" s="93">
        <v>19829684021.321899</v>
      </c>
      <c r="DN5" s="93">
        <v>19829684021.321899</v>
      </c>
      <c r="DO5" s="93">
        <v>19829684021.321899</v>
      </c>
      <c r="DP5" s="93">
        <v>19829684021.321899</v>
      </c>
      <c r="DQ5" s="93">
        <v>19829684021.321899</v>
      </c>
      <c r="DR5" s="93">
        <v>19829684021.321899</v>
      </c>
      <c r="DS5" s="93">
        <v>19829684021.321899</v>
      </c>
      <c r="DT5" s="93">
        <v>19829684021.321899</v>
      </c>
      <c r="DU5" s="93">
        <v>19829684021.321899</v>
      </c>
      <c r="DV5" s="93">
        <v>19829684021.321899</v>
      </c>
      <c r="DW5" s="93">
        <v>19829684021.321899</v>
      </c>
      <c r="DX5" s="93">
        <v>19829684021.321899</v>
      </c>
      <c r="DY5" s="93">
        <v>19829684021.321899</v>
      </c>
      <c r="DZ5" s="93">
        <v>19829684021.321899</v>
      </c>
      <c r="EA5" s="93">
        <v>19829684021.321899</v>
      </c>
      <c r="EB5" s="93">
        <v>19829684021.321899</v>
      </c>
      <c r="EC5" s="93">
        <v>19829684021.321899</v>
      </c>
      <c r="ED5" s="93">
        <v>19829684021.321899</v>
      </c>
    </row>
    <row r="6" spans="2:134" ht="21" customHeight="1" x14ac:dyDescent="0.2">
      <c r="B6" s="22" t="s">
        <v>66</v>
      </c>
      <c r="C6" s="25">
        <v>3316852365.9941287</v>
      </c>
      <c r="D6" s="26">
        <v>3316852365.9941287</v>
      </c>
      <c r="E6" s="26">
        <v>3299223250.2628217</v>
      </c>
      <c r="F6" s="26">
        <v>3299223250.2628217</v>
      </c>
      <c r="G6" s="26">
        <v>3308860150.2628217</v>
      </c>
      <c r="H6" s="26">
        <v>3308860150.2628217</v>
      </c>
      <c r="I6" s="26">
        <v>3715276711.2804556</v>
      </c>
      <c r="J6" s="26">
        <v>3830743192.2804556</v>
      </c>
      <c r="K6" s="26">
        <v>3830743192.2804556</v>
      </c>
      <c r="L6" s="26">
        <v>3916847392.2804556</v>
      </c>
      <c r="M6" s="26">
        <v>3886931492.2804556</v>
      </c>
      <c r="N6" s="26">
        <v>3928026957.2804556</v>
      </c>
      <c r="O6" s="26">
        <v>3997384898.2804556</v>
      </c>
      <c r="P6" s="26">
        <v>3994766198.2804556</v>
      </c>
      <c r="Q6" s="26">
        <v>3994766198.2804556</v>
      </c>
      <c r="R6" s="26">
        <v>4013717298.2804556</v>
      </c>
      <c r="S6" s="26">
        <v>4013717298.2804556</v>
      </c>
      <c r="T6" s="26">
        <v>4013717298.2804556</v>
      </c>
      <c r="U6" s="26">
        <v>4032762898.2804556</v>
      </c>
      <c r="V6" s="26">
        <v>4032762898.2804556</v>
      </c>
      <c r="W6" s="26">
        <v>4032762898.2804556</v>
      </c>
      <c r="X6" s="26">
        <v>4032762898.2804556</v>
      </c>
      <c r="Y6" s="26">
        <v>4032762898.2804556</v>
      </c>
      <c r="Z6" s="26">
        <v>4032762898.2804556</v>
      </c>
      <c r="AA6" s="26">
        <v>4032762898.2804556</v>
      </c>
      <c r="AB6" s="26">
        <v>4032762898.2804556</v>
      </c>
      <c r="AC6" s="26">
        <v>4032762898.2804556</v>
      </c>
      <c r="AD6" s="26">
        <v>4153497152.4420857</v>
      </c>
      <c r="AE6" s="26">
        <v>4130478152.4420857</v>
      </c>
      <c r="AF6" s="26">
        <v>4130478152.4420857</v>
      </c>
      <c r="AG6" s="26">
        <v>4130478152.4420857</v>
      </c>
      <c r="AH6" s="26">
        <v>4130478152.4420857</v>
      </c>
      <c r="AI6" s="26">
        <v>4130478152.4420857</v>
      </c>
      <c r="AJ6" s="26">
        <v>4130478152.4420857</v>
      </c>
      <c r="AK6" s="26">
        <v>4130628152.4420857</v>
      </c>
      <c r="AL6" s="26">
        <v>4130628152.4420857</v>
      </c>
      <c r="AM6" s="26">
        <v>4130628152.4420857</v>
      </c>
      <c r="AN6" s="26">
        <v>4130628152.4420857</v>
      </c>
      <c r="AO6" s="26">
        <v>4130628152.4420857</v>
      </c>
      <c r="AP6" s="26">
        <v>4130628152.4420857</v>
      </c>
      <c r="AQ6" s="26">
        <v>4120302902.4420857</v>
      </c>
      <c r="AR6" s="26">
        <v>4120302902.4420857</v>
      </c>
      <c r="AS6" s="26">
        <v>4110104402.4420857</v>
      </c>
      <c r="AT6" s="26">
        <v>4110104402.4420857</v>
      </c>
      <c r="AU6" s="26">
        <v>4110104402.4420857</v>
      </c>
      <c r="AV6" s="26">
        <v>4110104402.4420857</v>
      </c>
      <c r="AW6" s="26">
        <v>4110104402.4420857</v>
      </c>
      <c r="AX6" s="26">
        <v>4110104402.4420857</v>
      </c>
      <c r="AY6" s="26">
        <v>4141980214.8665376</v>
      </c>
      <c r="AZ6" s="26">
        <v>4141980214.8665376</v>
      </c>
      <c r="BA6" s="26">
        <v>4141980214.8665376</v>
      </c>
      <c r="BB6" s="26">
        <v>4141980214.8665376</v>
      </c>
      <c r="BC6" s="26">
        <v>4141980214.8665376</v>
      </c>
      <c r="BD6" s="26">
        <v>4141980214.8665376</v>
      </c>
      <c r="BE6" s="26">
        <v>4141980214.8665376</v>
      </c>
      <c r="BF6" s="26">
        <v>4141980214.8665376</v>
      </c>
      <c r="BG6" s="26">
        <v>3909821464.8665376</v>
      </c>
      <c r="BH6" s="26">
        <v>3909821464.8665376</v>
      </c>
      <c r="BI6" s="26">
        <v>3909821464.8665376</v>
      </c>
      <c r="BJ6" s="26">
        <v>3909821464.8665376</v>
      </c>
      <c r="BK6" s="26">
        <v>4082664511.2512922</v>
      </c>
      <c r="BL6" s="26">
        <v>4082664511.2512922</v>
      </c>
      <c r="BM6" s="26">
        <v>4082664511.2512922</v>
      </c>
      <c r="BN6" s="26">
        <v>4194284270.600203</v>
      </c>
      <c r="BO6" s="26">
        <v>4194284270.600203</v>
      </c>
      <c r="BP6" s="26">
        <v>4194284270.600203</v>
      </c>
      <c r="BQ6" s="26">
        <v>4194284270.600203</v>
      </c>
      <c r="BR6" s="26">
        <v>4194284270.600203</v>
      </c>
      <c r="BS6" s="26">
        <v>4194284270.600203</v>
      </c>
      <c r="BT6" s="26">
        <v>4194284270.600203</v>
      </c>
      <c r="BU6" s="26">
        <v>4194284270.600203</v>
      </c>
      <c r="BV6" s="26">
        <v>4194284270.600203</v>
      </c>
      <c r="BW6" s="26">
        <v>4260169051.600203</v>
      </c>
      <c r="BX6" s="26">
        <v>4260169051.600203</v>
      </c>
      <c r="BY6" s="26">
        <v>4260169051.600203</v>
      </c>
      <c r="BZ6" s="26">
        <v>4237181851.600203</v>
      </c>
      <c r="CA6" s="26">
        <v>4259208251.600203</v>
      </c>
      <c r="CB6" s="26">
        <v>4259208251.600203</v>
      </c>
      <c r="CC6" s="26">
        <v>4280974651.600203</v>
      </c>
      <c r="CD6" s="26">
        <v>4258948251.600203</v>
      </c>
      <c r="CE6" s="26">
        <v>4258948251.600203</v>
      </c>
      <c r="CF6" s="26">
        <v>4247946651.600203</v>
      </c>
      <c r="CG6" s="26">
        <v>4247946651.600203</v>
      </c>
      <c r="CH6" s="26">
        <v>4247946651.600203</v>
      </c>
      <c r="CI6" s="26">
        <v>4160295470.600203</v>
      </c>
      <c r="CJ6" s="26">
        <v>4160295470.600203</v>
      </c>
      <c r="CK6" s="26">
        <v>4160295470.600203</v>
      </c>
      <c r="CL6" s="26">
        <v>4160295470.600203</v>
      </c>
      <c r="CM6" s="26">
        <v>4160295470.600203</v>
      </c>
      <c r="CN6" s="26">
        <v>4160295470.600203</v>
      </c>
      <c r="CO6" s="26">
        <v>4284109870.600203</v>
      </c>
      <c r="CP6" s="26">
        <v>4284109870.600203</v>
      </c>
      <c r="CQ6" s="26">
        <v>4284109870.600203</v>
      </c>
      <c r="CR6" s="26">
        <v>4284109870.600203</v>
      </c>
      <c r="CS6" s="26">
        <v>4284109870.600203</v>
      </c>
      <c r="CT6" s="26">
        <v>4284109870.600203</v>
      </c>
      <c r="CU6" s="26">
        <v>4284109870.600203</v>
      </c>
      <c r="CV6" s="26">
        <v>4284109870.600203</v>
      </c>
      <c r="CW6" s="26">
        <v>4284109870.600203</v>
      </c>
      <c r="CX6" s="26">
        <v>4401343729.9491138</v>
      </c>
      <c r="CY6" s="26">
        <v>4401343729.9491138</v>
      </c>
      <c r="CZ6" s="26">
        <v>4401343729.9491138</v>
      </c>
      <c r="DA6" s="26">
        <v>4401343729.9491138</v>
      </c>
      <c r="DB6" s="26">
        <v>4401343729.9491138</v>
      </c>
      <c r="DC6" s="26">
        <v>4401343729.9491138</v>
      </c>
      <c r="DD6" s="26">
        <v>4401343729.9491138</v>
      </c>
      <c r="DE6" s="26">
        <v>4401343729.9491138</v>
      </c>
      <c r="DF6" s="26">
        <v>4401343729.9491138</v>
      </c>
      <c r="DG6" s="26">
        <v>4401343729.9491138</v>
      </c>
      <c r="DH6" s="26">
        <v>4401343729.9491138</v>
      </c>
      <c r="DI6" s="26">
        <v>4401343729.9491138</v>
      </c>
      <c r="DJ6" s="26">
        <v>4401343729.9491138</v>
      </c>
      <c r="DK6" s="26">
        <v>4401343729.9491138</v>
      </c>
      <c r="DL6" s="26">
        <v>4401343729.9491138</v>
      </c>
      <c r="DM6" s="26">
        <v>4401343729.9491138</v>
      </c>
      <c r="DN6" s="26">
        <v>4401343729.9491138</v>
      </c>
      <c r="DO6" s="26">
        <v>4401343729.9491138</v>
      </c>
      <c r="DP6" s="26">
        <v>4401343729.9491138</v>
      </c>
      <c r="DQ6" s="26">
        <v>4401343729.9491138</v>
      </c>
      <c r="DR6" s="26">
        <v>4401343729.9491138</v>
      </c>
      <c r="DS6" s="26">
        <v>4401343729.9491138</v>
      </c>
      <c r="DT6" s="26">
        <v>4401343729.9491138</v>
      </c>
      <c r="DU6" s="26">
        <v>4401343729.9491138</v>
      </c>
      <c r="DV6" s="26">
        <v>4401343729.9491138</v>
      </c>
      <c r="DW6" s="26">
        <v>4401343729.9491138</v>
      </c>
      <c r="DX6" s="26">
        <v>4401343729.9491138</v>
      </c>
      <c r="DY6" s="26">
        <v>4401343729.9491138</v>
      </c>
      <c r="DZ6" s="26">
        <v>4401343729.9491138</v>
      </c>
      <c r="EA6" s="26">
        <v>4401343729.9491138</v>
      </c>
      <c r="EB6" s="26">
        <v>4401343729.9491138</v>
      </c>
      <c r="EC6" s="26">
        <v>4401343729.9491138</v>
      </c>
      <c r="ED6" s="26">
        <v>4401343729.9491138</v>
      </c>
    </row>
    <row r="7" spans="2:134" s="23" customFormat="1" ht="21" customHeight="1" x14ac:dyDescent="0.2">
      <c r="B7" s="22" t="s">
        <v>20</v>
      </c>
      <c r="C7" s="27">
        <v>19064292608.595581</v>
      </c>
      <c r="D7" s="28">
        <v>19064292608.595581</v>
      </c>
      <c r="E7" s="28">
        <v>18846512183.163013</v>
      </c>
      <c r="F7" s="28">
        <v>18846512183.163013</v>
      </c>
      <c r="G7" s="28">
        <v>18909840383.163013</v>
      </c>
      <c r="H7" s="28">
        <v>18909840383.163013</v>
      </c>
      <c r="I7" s="28">
        <v>21055727745.69252</v>
      </c>
      <c r="J7" s="28">
        <v>21713627601.69252</v>
      </c>
      <c r="K7" s="28">
        <v>21586754101.69252</v>
      </c>
      <c r="L7" s="28">
        <v>22164882301.69252</v>
      </c>
      <c r="M7" s="28">
        <v>21953950701.69252</v>
      </c>
      <c r="N7" s="28">
        <v>22172181791.69252</v>
      </c>
      <c r="O7" s="28">
        <v>22540761561.045998</v>
      </c>
      <c r="P7" s="28">
        <v>22519057571.045998</v>
      </c>
      <c r="Q7" s="28">
        <v>22519057571.045998</v>
      </c>
      <c r="R7" s="28">
        <v>22677833031.045998</v>
      </c>
      <c r="S7" s="28">
        <v>22662139221.045998</v>
      </c>
      <c r="T7" s="28">
        <v>22662139221.045998</v>
      </c>
      <c r="U7" s="28">
        <v>22781174221.045998</v>
      </c>
      <c r="V7" s="28">
        <v>22781174221.045998</v>
      </c>
      <c r="W7" s="28">
        <v>22781174221.045998</v>
      </c>
      <c r="X7" s="28">
        <v>22781174221.045998</v>
      </c>
      <c r="Y7" s="28">
        <v>22781174221.045998</v>
      </c>
      <c r="Z7" s="28">
        <v>22781174221.045998</v>
      </c>
      <c r="AA7" s="28">
        <v>22781174221.045998</v>
      </c>
      <c r="AB7" s="28">
        <v>22781174221.045998</v>
      </c>
      <c r="AC7" s="28">
        <v>22781174221.045998</v>
      </c>
      <c r="AD7" s="28">
        <v>22901908475.207626</v>
      </c>
      <c r="AE7" s="28">
        <v>22761339115.207626</v>
      </c>
      <c r="AF7" s="28">
        <v>22761339115.207626</v>
      </c>
      <c r="AG7" s="28">
        <v>22761339115.207626</v>
      </c>
      <c r="AH7" s="28">
        <v>22761339115.207626</v>
      </c>
      <c r="AI7" s="28">
        <v>22761339115.207626</v>
      </c>
      <c r="AJ7" s="28">
        <v>22761339115.207626</v>
      </c>
      <c r="AK7" s="28">
        <v>22783203945.207626</v>
      </c>
      <c r="AL7" s="28">
        <v>22783203945.207626</v>
      </c>
      <c r="AM7" s="28">
        <v>22783203945.207626</v>
      </c>
      <c r="AN7" s="28">
        <v>22783203945.207626</v>
      </c>
      <c r="AO7" s="28">
        <v>22783203945.207626</v>
      </c>
      <c r="AP7" s="28">
        <v>22783203945.207626</v>
      </c>
      <c r="AQ7" s="28">
        <v>22719187395.207626</v>
      </c>
      <c r="AR7" s="28">
        <v>22719187395.207626</v>
      </c>
      <c r="AS7" s="28">
        <v>22656908555.207626</v>
      </c>
      <c r="AT7" s="28">
        <v>22656908555.207626</v>
      </c>
      <c r="AU7" s="28">
        <v>22656908555.207626</v>
      </c>
      <c r="AV7" s="28">
        <v>22656908555.207626</v>
      </c>
      <c r="AW7" s="28">
        <v>22656908555.207626</v>
      </c>
      <c r="AX7" s="28">
        <v>22656908555.207626</v>
      </c>
      <c r="AY7" s="28">
        <v>22860165408.88575</v>
      </c>
      <c r="AZ7" s="28">
        <v>22860165408.88575</v>
      </c>
      <c r="BA7" s="28">
        <v>22860165408.88575</v>
      </c>
      <c r="BB7" s="28">
        <v>22860165408.88575</v>
      </c>
      <c r="BC7" s="28">
        <v>22855897793.88575</v>
      </c>
      <c r="BD7" s="28">
        <v>22855897793.88575</v>
      </c>
      <c r="BE7" s="28">
        <v>22855897793.88575</v>
      </c>
      <c r="BF7" s="28">
        <v>22855897793.88575</v>
      </c>
      <c r="BG7" s="28">
        <v>21439728743.88575</v>
      </c>
      <c r="BH7" s="28">
        <v>21439728743.88575</v>
      </c>
      <c r="BI7" s="28">
        <v>21439728743.88575</v>
      </c>
      <c r="BJ7" s="28">
        <v>21439728743.88575</v>
      </c>
      <c r="BK7" s="28">
        <v>22457806383.811989</v>
      </c>
      <c r="BL7" s="28">
        <v>22457806383.811989</v>
      </c>
      <c r="BM7" s="28">
        <v>22457806383.811989</v>
      </c>
      <c r="BN7" s="28">
        <v>22569426143.1609</v>
      </c>
      <c r="BO7" s="28">
        <v>22569426143.1609</v>
      </c>
      <c r="BP7" s="28">
        <v>22569426143.1609</v>
      </c>
      <c r="BQ7" s="28">
        <v>22569426143.1609</v>
      </c>
      <c r="BR7" s="28">
        <v>22569426143.1609</v>
      </c>
      <c r="BS7" s="28">
        <v>22569426143.1609</v>
      </c>
      <c r="BT7" s="28">
        <v>22569426143.1609</v>
      </c>
      <c r="BU7" s="28">
        <v>22569426143.1609</v>
      </c>
      <c r="BV7" s="28">
        <v>22569426143.1609</v>
      </c>
      <c r="BW7" s="28">
        <v>22986512499.1609</v>
      </c>
      <c r="BX7" s="28">
        <v>22986512499.1609</v>
      </c>
      <c r="BY7" s="28">
        <v>22986512499.1609</v>
      </c>
      <c r="BZ7" s="28">
        <v>22848589299.1609</v>
      </c>
      <c r="CA7" s="28">
        <v>22979371049.1609</v>
      </c>
      <c r="CB7" s="28">
        <v>22979371049.1609</v>
      </c>
      <c r="CC7" s="28">
        <v>23961079752.922104</v>
      </c>
      <c r="CD7" s="28">
        <v>23861274197.922104</v>
      </c>
      <c r="CE7" s="28">
        <v>23861274197.922104</v>
      </c>
      <c r="CF7" s="28">
        <v>23850272597.922104</v>
      </c>
      <c r="CG7" s="28">
        <v>23850272597.922104</v>
      </c>
      <c r="CH7" s="28">
        <v>23850272597.922104</v>
      </c>
      <c r="CI7" s="28">
        <v>23378645891.922104</v>
      </c>
      <c r="CJ7" s="28">
        <v>23378645891.922104</v>
      </c>
      <c r="CK7" s="28">
        <v>23378645891.922104</v>
      </c>
      <c r="CL7" s="28">
        <v>23378645891.922104</v>
      </c>
      <c r="CM7" s="28">
        <v>23378645891.922104</v>
      </c>
      <c r="CN7" s="28">
        <v>23378645891.922104</v>
      </c>
      <c r="CO7" s="28">
        <v>24113793891.922104</v>
      </c>
      <c r="CP7" s="28">
        <v>24113793891.922104</v>
      </c>
      <c r="CQ7" s="28">
        <v>24113793891.922104</v>
      </c>
      <c r="CR7" s="28">
        <v>24113793891.922104</v>
      </c>
      <c r="CS7" s="28">
        <v>24113793891.922104</v>
      </c>
      <c r="CT7" s="28">
        <v>24113793891.922104</v>
      </c>
      <c r="CU7" s="28">
        <v>24113793891.922104</v>
      </c>
      <c r="CV7" s="28">
        <v>24113793891.922104</v>
      </c>
      <c r="CW7" s="28">
        <v>24113793891.922104</v>
      </c>
      <c r="CX7" s="28">
        <v>24231027751.271011</v>
      </c>
      <c r="CY7" s="28">
        <v>24231027751.271011</v>
      </c>
      <c r="CZ7" s="28">
        <v>24231027751.271011</v>
      </c>
      <c r="DA7" s="28">
        <v>24231027751.271011</v>
      </c>
      <c r="DB7" s="28">
        <v>24231027751.271011</v>
      </c>
      <c r="DC7" s="28">
        <v>24231027751.271011</v>
      </c>
      <c r="DD7" s="28">
        <v>24231027751.271011</v>
      </c>
      <c r="DE7" s="28">
        <v>24231027751.271011</v>
      </c>
      <c r="DF7" s="28">
        <v>24231027751.271011</v>
      </c>
      <c r="DG7" s="28">
        <v>24231027751.271011</v>
      </c>
      <c r="DH7" s="28">
        <v>24231027751.271011</v>
      </c>
      <c r="DI7" s="28">
        <v>24231027751.271011</v>
      </c>
      <c r="DJ7" s="28">
        <v>24231027751.271011</v>
      </c>
      <c r="DK7" s="28">
        <v>24231027751.271011</v>
      </c>
      <c r="DL7" s="28">
        <v>24231027751.271011</v>
      </c>
      <c r="DM7" s="28">
        <v>24231027751.271011</v>
      </c>
      <c r="DN7" s="28">
        <v>24231027751.271011</v>
      </c>
      <c r="DO7" s="28">
        <v>24231027751.271011</v>
      </c>
      <c r="DP7" s="28">
        <v>24231027751.271011</v>
      </c>
      <c r="DQ7" s="28">
        <v>24231027751.271011</v>
      </c>
      <c r="DR7" s="28">
        <v>24231027751.271011</v>
      </c>
      <c r="DS7" s="28">
        <v>24231027751.271011</v>
      </c>
      <c r="DT7" s="28">
        <v>24231027751.271011</v>
      </c>
      <c r="DU7" s="28">
        <v>24231027751.271011</v>
      </c>
      <c r="DV7" s="28">
        <v>24231027751.271011</v>
      </c>
      <c r="DW7" s="28">
        <v>24231027751.271011</v>
      </c>
      <c r="DX7" s="28">
        <v>24231027751.271011</v>
      </c>
      <c r="DY7" s="28">
        <v>24231027751.271011</v>
      </c>
      <c r="DZ7" s="28">
        <v>24231027751.271011</v>
      </c>
      <c r="EA7" s="28">
        <v>24231027751.271011</v>
      </c>
      <c r="EB7" s="28">
        <v>24231027751.271011</v>
      </c>
      <c r="EC7" s="28">
        <v>24231027751.271011</v>
      </c>
      <c r="ED7" s="28">
        <v>24231027751.271011</v>
      </c>
    </row>
    <row r="8" spans="2:134" ht="21" customHeight="1" x14ac:dyDescent="0.2">
      <c r="B8" s="22" t="s">
        <v>67</v>
      </c>
      <c r="C8" s="25">
        <v>44928.815342773254</v>
      </c>
      <c r="D8" s="26">
        <v>44928.815342773254</v>
      </c>
      <c r="E8" s="26">
        <v>44676.970832326013</v>
      </c>
      <c r="F8" s="26">
        <v>44676.970832326013</v>
      </c>
      <c r="G8" s="26">
        <v>44814.640832326011</v>
      </c>
      <c r="H8" s="26">
        <v>44814.640832326011</v>
      </c>
      <c r="I8" s="26">
        <v>49667.978276055313</v>
      </c>
      <c r="J8" s="26">
        <v>51228.788276055311</v>
      </c>
      <c r="K8" s="26">
        <v>51228.788276055311</v>
      </c>
      <c r="L8" s="26">
        <v>52458.848276055309</v>
      </c>
      <c r="M8" s="26">
        <v>52031.478276055313</v>
      </c>
      <c r="N8" s="26">
        <v>52520.128276055315</v>
      </c>
      <c r="O8" s="26">
        <v>53441.058276055308</v>
      </c>
      <c r="P8" s="26">
        <v>53403.648276055304</v>
      </c>
      <c r="Q8" s="26">
        <v>53403.648276055304</v>
      </c>
      <c r="R8" s="26">
        <v>53673.378276055308</v>
      </c>
      <c r="S8" s="26">
        <v>53673.378276055308</v>
      </c>
      <c r="T8" s="26">
        <v>53673.378276055308</v>
      </c>
      <c r="U8" s="26">
        <v>53945.458276055309</v>
      </c>
      <c r="V8" s="26">
        <v>53945.458276055309</v>
      </c>
      <c r="W8" s="26">
        <v>53945.458276055309</v>
      </c>
      <c r="X8" s="26">
        <v>53945.458276055309</v>
      </c>
      <c r="Y8" s="26">
        <v>53945.458276055309</v>
      </c>
      <c r="Z8" s="26">
        <v>53945.458276055309</v>
      </c>
      <c r="AA8" s="26">
        <v>53945.458276055309</v>
      </c>
      <c r="AB8" s="26">
        <v>53945.458276055309</v>
      </c>
      <c r="AC8" s="26">
        <v>53945.458276055309</v>
      </c>
      <c r="AD8" s="26">
        <v>53945.458276055309</v>
      </c>
      <c r="AE8" s="26">
        <v>53638.538276055311</v>
      </c>
      <c r="AF8" s="26">
        <v>53638.538276055311</v>
      </c>
      <c r="AG8" s="26">
        <v>53638.538276055311</v>
      </c>
      <c r="AH8" s="26">
        <v>53638.538276055311</v>
      </c>
      <c r="AI8" s="26">
        <v>53638.538276055311</v>
      </c>
      <c r="AJ8" s="26">
        <v>53638.538276055311</v>
      </c>
      <c r="AK8" s="26">
        <v>53640.538276055311</v>
      </c>
      <c r="AL8" s="26">
        <v>53640.538276055311</v>
      </c>
      <c r="AM8" s="26">
        <v>53640.538276055311</v>
      </c>
      <c r="AN8" s="26">
        <v>53640.538276055311</v>
      </c>
      <c r="AO8" s="26">
        <v>53640.538276055311</v>
      </c>
      <c r="AP8" s="26">
        <v>53640.538276055311</v>
      </c>
      <c r="AQ8" s="26">
        <v>53502.868276055306</v>
      </c>
      <c r="AR8" s="26">
        <v>53502.868276055306</v>
      </c>
      <c r="AS8" s="26">
        <v>53366.888276055302</v>
      </c>
      <c r="AT8" s="26">
        <v>53366.888276055302</v>
      </c>
      <c r="AU8" s="26">
        <v>53366.888276055302</v>
      </c>
      <c r="AV8" s="26">
        <v>53366.888276055302</v>
      </c>
      <c r="AW8" s="26">
        <v>53366.888276055302</v>
      </c>
      <c r="AX8" s="26">
        <v>53366.888276055302</v>
      </c>
      <c r="AY8" s="26">
        <v>53791.899108381323</v>
      </c>
      <c r="AZ8" s="26">
        <v>53791.899108381323</v>
      </c>
      <c r="BA8" s="26">
        <v>53791.899108381323</v>
      </c>
      <c r="BB8" s="26">
        <v>53791.899108381323</v>
      </c>
      <c r="BC8" s="26">
        <v>53791.899108381323</v>
      </c>
      <c r="BD8" s="26">
        <v>53791.899108381323</v>
      </c>
      <c r="BE8" s="26">
        <v>53791.899108381323</v>
      </c>
      <c r="BF8" s="26">
        <v>53791.899108381323</v>
      </c>
      <c r="BG8" s="26">
        <v>50696.449108381326</v>
      </c>
      <c r="BH8" s="26">
        <v>50696.449108381326</v>
      </c>
      <c r="BI8" s="26">
        <v>50696.449108381326</v>
      </c>
      <c r="BJ8" s="26">
        <v>50696.449108381326</v>
      </c>
      <c r="BK8" s="26">
        <v>52905.969313511392</v>
      </c>
      <c r="BL8" s="26">
        <v>52905.969313511392</v>
      </c>
      <c r="BM8" s="26">
        <v>52905.969313511392</v>
      </c>
      <c r="BN8" s="26">
        <v>52905.969313511392</v>
      </c>
      <c r="BO8" s="26">
        <v>52905.969313511392</v>
      </c>
      <c r="BP8" s="26">
        <v>52905.969313511392</v>
      </c>
      <c r="BQ8" s="26">
        <v>52905.969313511392</v>
      </c>
      <c r="BR8" s="26">
        <v>52905.969313511392</v>
      </c>
      <c r="BS8" s="26">
        <v>52905.969313511392</v>
      </c>
      <c r="BT8" s="26">
        <v>52905.969313511392</v>
      </c>
      <c r="BU8" s="26">
        <v>52905.969313511392</v>
      </c>
      <c r="BV8" s="26">
        <v>52905.969313511392</v>
      </c>
      <c r="BW8" s="26">
        <v>53689.379313511396</v>
      </c>
      <c r="BX8" s="26">
        <v>53689.379313511396</v>
      </c>
      <c r="BY8" s="26">
        <v>53689.379313511396</v>
      </c>
      <c r="BZ8" s="26">
        <v>53402.039313511399</v>
      </c>
      <c r="CA8" s="26">
        <v>53677.369313511401</v>
      </c>
      <c r="CB8" s="26">
        <v>53677.369313511401</v>
      </c>
      <c r="CC8" s="26">
        <v>53949.449313511403</v>
      </c>
      <c r="CD8" s="26">
        <v>53674.119313511401</v>
      </c>
      <c r="CE8" s="26">
        <v>53674.119313511401</v>
      </c>
      <c r="CF8" s="26">
        <v>53536.599313511404</v>
      </c>
      <c r="CG8" s="26">
        <v>53536.599313511404</v>
      </c>
      <c r="CH8" s="26">
        <v>53536.599313511404</v>
      </c>
      <c r="CI8" s="26">
        <v>52481.109313511399</v>
      </c>
      <c r="CJ8" s="26">
        <v>52481.109313511399</v>
      </c>
      <c r="CK8" s="26">
        <v>52481.109313511399</v>
      </c>
      <c r="CL8" s="26">
        <v>52481.109313511399</v>
      </c>
      <c r="CM8" s="26">
        <v>52481.109313511399</v>
      </c>
      <c r="CN8" s="26">
        <v>52481.109313511399</v>
      </c>
      <c r="CO8" s="26">
        <v>54028.789313511399</v>
      </c>
      <c r="CP8" s="26">
        <v>54028.789313511399</v>
      </c>
      <c r="CQ8" s="26">
        <v>54028.789313511399</v>
      </c>
      <c r="CR8" s="26">
        <v>54028.789313511399</v>
      </c>
      <c r="CS8" s="26">
        <v>54028.789313511399</v>
      </c>
      <c r="CT8" s="26">
        <v>54028.789313511399</v>
      </c>
      <c r="CU8" s="26">
        <v>54028.789313511399</v>
      </c>
      <c r="CV8" s="26">
        <v>54028.789313511399</v>
      </c>
      <c r="CW8" s="26">
        <v>54028.789313511399</v>
      </c>
      <c r="CX8" s="26">
        <v>54028.789313511399</v>
      </c>
      <c r="CY8" s="26">
        <v>54028.789313511399</v>
      </c>
      <c r="CZ8" s="26">
        <v>54028.789313511399</v>
      </c>
      <c r="DA8" s="26">
        <v>54028.789313511399</v>
      </c>
      <c r="DB8" s="26">
        <v>54028.789313511399</v>
      </c>
      <c r="DC8" s="26">
        <v>54028.789313511399</v>
      </c>
      <c r="DD8" s="26">
        <v>54028.789313511399</v>
      </c>
      <c r="DE8" s="26">
        <v>54028.789313511399</v>
      </c>
      <c r="DF8" s="26">
        <v>54028.789313511399</v>
      </c>
      <c r="DG8" s="26">
        <v>54028.789313511399</v>
      </c>
      <c r="DH8" s="26">
        <v>54028.789313511399</v>
      </c>
      <c r="DI8" s="26">
        <v>54028.789313511399</v>
      </c>
      <c r="DJ8" s="26">
        <v>54028.789313511399</v>
      </c>
      <c r="DK8" s="26">
        <v>54028.789313511399</v>
      </c>
      <c r="DL8" s="26">
        <v>54028.789313511399</v>
      </c>
      <c r="DM8" s="26">
        <v>54028.789313511399</v>
      </c>
      <c r="DN8" s="26">
        <v>54028.789313511399</v>
      </c>
      <c r="DO8" s="26">
        <v>54028.789313511399</v>
      </c>
      <c r="DP8" s="26">
        <v>54028.789313511399</v>
      </c>
      <c r="DQ8" s="26">
        <v>54028.789313511399</v>
      </c>
      <c r="DR8" s="26">
        <v>54028.789313511399</v>
      </c>
      <c r="DS8" s="26">
        <v>54028.789313511399</v>
      </c>
      <c r="DT8" s="26">
        <v>54028.789313511399</v>
      </c>
      <c r="DU8" s="26">
        <v>54028.789313511399</v>
      </c>
      <c r="DV8" s="26">
        <v>54028.789313511399</v>
      </c>
      <c r="DW8" s="26">
        <v>54028.789313511399</v>
      </c>
      <c r="DX8" s="26">
        <v>54028.789313511399</v>
      </c>
      <c r="DY8" s="26">
        <v>54028.789313511399</v>
      </c>
      <c r="DZ8" s="26">
        <v>54028.789313511399</v>
      </c>
      <c r="EA8" s="26">
        <v>54028.789313511399</v>
      </c>
      <c r="EB8" s="26">
        <v>54028.789313511399</v>
      </c>
      <c r="EC8" s="26">
        <v>54028.789313511399</v>
      </c>
      <c r="ED8" s="26">
        <v>54028.789313511399</v>
      </c>
    </row>
    <row r="9" spans="2:134" ht="21" customHeight="1" x14ac:dyDescent="0.2">
      <c r="B9" s="22" t="s">
        <v>68</v>
      </c>
      <c r="C9" s="29">
        <v>0.74315713692948415</v>
      </c>
      <c r="D9" s="30">
        <v>0.74315713692948415</v>
      </c>
      <c r="E9" s="30">
        <v>0.73899143516531585</v>
      </c>
      <c r="F9" s="30">
        <v>0.73899143516531585</v>
      </c>
      <c r="G9" s="30">
        <v>0.74126860277502316</v>
      </c>
      <c r="H9" s="30">
        <v>0.74126860277502316</v>
      </c>
      <c r="I9" s="30">
        <v>0.82154653424767388</v>
      </c>
      <c r="J9" s="30">
        <v>0.84736353124707231</v>
      </c>
      <c r="K9" s="30">
        <v>0.84736353124707231</v>
      </c>
      <c r="L9" s="30">
        <v>0.86770966904032076</v>
      </c>
      <c r="M9" s="30">
        <v>0.86064064077446345</v>
      </c>
      <c r="N9" s="30">
        <v>0.86872328733859105</v>
      </c>
      <c r="O9" s="30">
        <v>0.88395617734227883</v>
      </c>
      <c r="P9" s="30">
        <v>0.88333738718989163</v>
      </c>
      <c r="Q9" s="30">
        <v>0.88333738718989163</v>
      </c>
      <c r="R9" s="30">
        <v>0.88779892869760091</v>
      </c>
      <c r="S9" s="30">
        <v>0.88779892869760091</v>
      </c>
      <c r="T9" s="30">
        <v>0.88779892869760091</v>
      </c>
      <c r="U9" s="30">
        <v>0.89229934101146136</v>
      </c>
      <c r="V9" s="30">
        <v>0.89229934101146136</v>
      </c>
      <c r="W9" s="30">
        <v>0.89229934101146136</v>
      </c>
      <c r="X9" s="30">
        <v>0.89229934101146136</v>
      </c>
      <c r="Y9" s="30">
        <v>0.89229934101146136</v>
      </c>
      <c r="Z9" s="30">
        <v>0.89229934101146136</v>
      </c>
      <c r="AA9" s="30">
        <v>0.89229934101146136</v>
      </c>
      <c r="AB9" s="30">
        <v>0.89229934101146136</v>
      </c>
      <c r="AC9" s="30">
        <v>0.89229934101146136</v>
      </c>
      <c r="AD9" s="30">
        <v>0.89229934101146136</v>
      </c>
      <c r="AE9" s="30">
        <v>0.88722264832045128</v>
      </c>
      <c r="AF9" s="30">
        <v>0.88722264832045128</v>
      </c>
      <c r="AG9" s="30">
        <v>0.88722264832045128</v>
      </c>
      <c r="AH9" s="30">
        <v>0.88722264832045128</v>
      </c>
      <c r="AI9" s="30">
        <v>0.88722264832045128</v>
      </c>
      <c r="AJ9" s="30">
        <v>0.88722264832045128</v>
      </c>
      <c r="AK9" s="30">
        <v>0.88725572985760115</v>
      </c>
      <c r="AL9" s="30">
        <v>0.88725572985760115</v>
      </c>
      <c r="AM9" s="30">
        <v>0.88725572985760115</v>
      </c>
      <c r="AN9" s="30">
        <v>0.88725572985760115</v>
      </c>
      <c r="AO9" s="30">
        <v>0.88725572985760115</v>
      </c>
      <c r="AP9" s="30">
        <v>0.88725572985760115</v>
      </c>
      <c r="AQ9" s="30">
        <v>0.88497856224789373</v>
      </c>
      <c r="AR9" s="30">
        <v>0.88497856224789373</v>
      </c>
      <c r="AS9" s="30">
        <v>0.88272934853707807</v>
      </c>
      <c r="AT9" s="30">
        <v>0.88272934853707807</v>
      </c>
      <c r="AU9" s="30">
        <v>0.88272934853707807</v>
      </c>
      <c r="AV9" s="30">
        <v>0.88272934853707807</v>
      </c>
      <c r="AW9" s="30">
        <v>0.88272934853707807</v>
      </c>
      <c r="AX9" s="30">
        <v>0.88272934853707807</v>
      </c>
      <c r="AY9" s="30">
        <v>0.88975935435641074</v>
      </c>
      <c r="AZ9" s="30">
        <v>0.88975935435641074</v>
      </c>
      <c r="BA9" s="30">
        <v>0.88975935435641074</v>
      </c>
      <c r="BB9" s="30">
        <v>0.88975935435641074</v>
      </c>
      <c r="BC9" s="30">
        <v>0.88975935435641074</v>
      </c>
      <c r="BD9" s="30">
        <v>0.88975935435641074</v>
      </c>
      <c r="BE9" s="30">
        <v>0.88975935435641074</v>
      </c>
      <c r="BF9" s="30">
        <v>0.88975935435641074</v>
      </c>
      <c r="BG9" s="30">
        <v>0.83855823227121906</v>
      </c>
      <c r="BH9" s="30">
        <v>0.83855823227121906</v>
      </c>
      <c r="BI9" s="30">
        <v>0.83855823227121906</v>
      </c>
      <c r="BJ9" s="30">
        <v>0.83855823227121906</v>
      </c>
      <c r="BK9" s="30">
        <v>0.87510539464585357</v>
      </c>
      <c r="BL9" s="30">
        <v>0.87510539464585357</v>
      </c>
      <c r="BM9" s="30">
        <v>0.87510539464585357</v>
      </c>
      <c r="BN9" s="30">
        <v>0.87510539464585357</v>
      </c>
      <c r="BO9" s="30">
        <v>0.87510539464585357</v>
      </c>
      <c r="BP9" s="30">
        <v>0.87510539464585357</v>
      </c>
      <c r="BQ9" s="30">
        <v>0.87510539464585357</v>
      </c>
      <c r="BR9" s="30">
        <v>0.87510539464585357</v>
      </c>
      <c r="BS9" s="30">
        <v>0.87510539464585357</v>
      </c>
      <c r="BT9" s="30">
        <v>0.87510539464585357</v>
      </c>
      <c r="BU9" s="30">
        <v>0.87510539464585357</v>
      </c>
      <c r="BV9" s="30">
        <v>0.87510539464585357</v>
      </c>
      <c r="BW9" s="30">
        <v>0.88806359815512048</v>
      </c>
      <c r="BX9" s="30">
        <v>0.88806359815512048</v>
      </c>
      <c r="BY9" s="30">
        <v>0.88806359815512048</v>
      </c>
      <c r="BZ9" s="30">
        <v>0.8833107737128072</v>
      </c>
      <c r="CA9" s="30">
        <v>0.88786494352453593</v>
      </c>
      <c r="CB9" s="30">
        <v>0.88786494352453593</v>
      </c>
      <c r="CC9" s="30">
        <v>0.89236535583839638</v>
      </c>
      <c r="CD9" s="30">
        <v>0.88781118602666753</v>
      </c>
      <c r="CE9" s="30">
        <v>0.88781118602666753</v>
      </c>
      <c r="CF9" s="30">
        <v>0.88553649953224656</v>
      </c>
      <c r="CG9" s="30">
        <v>0.88553649953224656</v>
      </c>
      <c r="CH9" s="30">
        <v>0.88553649953224656</v>
      </c>
      <c r="CI9" s="30">
        <v>0.86807788370911931</v>
      </c>
      <c r="CJ9" s="30">
        <v>0.86807788370911931</v>
      </c>
      <c r="CK9" s="30">
        <v>0.86807788370911931</v>
      </c>
      <c r="CL9" s="30">
        <v>0.86807788370911931</v>
      </c>
      <c r="CM9" s="30">
        <v>0.86807788370911931</v>
      </c>
      <c r="CN9" s="30">
        <v>0.86807788370911931</v>
      </c>
      <c r="CO9" s="30">
        <v>0.89367770041712935</v>
      </c>
      <c r="CP9" s="30">
        <v>0.89367770041712935</v>
      </c>
      <c r="CQ9" s="30">
        <v>0.89367770041712935</v>
      </c>
      <c r="CR9" s="30">
        <v>0.89367770041712935</v>
      </c>
      <c r="CS9" s="30">
        <v>0.89367770041712935</v>
      </c>
      <c r="CT9" s="30">
        <v>0.89367770041712935</v>
      </c>
      <c r="CU9" s="30">
        <v>0.89367770041712935</v>
      </c>
      <c r="CV9" s="30">
        <v>0.89367770041712935</v>
      </c>
      <c r="CW9" s="30">
        <v>0.89367770041712935</v>
      </c>
      <c r="CX9" s="30">
        <v>0.89367770041712935</v>
      </c>
      <c r="CY9" s="30">
        <v>0.89367770041712935</v>
      </c>
      <c r="CZ9" s="30">
        <v>0.89367770041712935</v>
      </c>
      <c r="DA9" s="30">
        <v>0.89367770041712935</v>
      </c>
      <c r="DB9" s="30">
        <v>0.89367770041712935</v>
      </c>
      <c r="DC9" s="30">
        <v>0.89367770041712935</v>
      </c>
      <c r="DD9" s="30">
        <v>0.89367770041712935</v>
      </c>
      <c r="DE9" s="30">
        <v>0.89367770041712935</v>
      </c>
      <c r="DF9" s="30">
        <v>0.89367770041712935</v>
      </c>
      <c r="DG9" s="30">
        <v>0.89367770041712935</v>
      </c>
      <c r="DH9" s="30">
        <v>0.89367770041712935</v>
      </c>
      <c r="DI9" s="30">
        <v>0.89367770041712935</v>
      </c>
      <c r="DJ9" s="30">
        <v>0.89367770041712935</v>
      </c>
      <c r="DK9" s="30">
        <v>0.89367770041712935</v>
      </c>
      <c r="DL9" s="30">
        <v>0.89367770041712935</v>
      </c>
      <c r="DM9" s="30">
        <v>0.89367770041712935</v>
      </c>
      <c r="DN9" s="30">
        <v>0.89367770041712935</v>
      </c>
      <c r="DO9" s="30">
        <v>0.89367770041712935</v>
      </c>
      <c r="DP9" s="30">
        <v>0.89367770041712935</v>
      </c>
      <c r="DQ9" s="30">
        <v>0.89367770041712935</v>
      </c>
      <c r="DR9" s="30">
        <v>0.89367770041712935</v>
      </c>
      <c r="DS9" s="30">
        <v>0.89367770041712935</v>
      </c>
      <c r="DT9" s="30">
        <v>0.89367770041712935</v>
      </c>
      <c r="DU9" s="30">
        <v>0.89367770041712935</v>
      </c>
      <c r="DV9" s="30">
        <v>0.89367770041712935</v>
      </c>
      <c r="DW9" s="30">
        <v>0.89367770041712935</v>
      </c>
      <c r="DX9" s="30">
        <v>0.89367770041712935</v>
      </c>
      <c r="DY9" s="30">
        <v>0.89367770041712935</v>
      </c>
      <c r="DZ9" s="30">
        <v>0.89367770041712935</v>
      </c>
      <c r="EA9" s="30">
        <v>0.89367770041712935</v>
      </c>
      <c r="EB9" s="30">
        <v>0.89367770041712935</v>
      </c>
      <c r="EC9" s="30">
        <v>0.89367770041712935</v>
      </c>
      <c r="ED9" s="30">
        <v>0.89367770041712935</v>
      </c>
    </row>
    <row r="10" spans="2:134" ht="21" customHeight="1" x14ac:dyDescent="0.2">
      <c r="C10" s="73"/>
      <c r="D10" s="73"/>
      <c r="E10" s="73"/>
      <c r="F10" s="73"/>
      <c r="G10" s="73"/>
      <c r="H10" s="73"/>
      <c r="I10" s="73"/>
      <c r="J10" s="73"/>
      <c r="K10" s="73"/>
      <c r="L10" s="73"/>
      <c r="M10" s="73"/>
    </row>
    <row r="11" spans="2:134" ht="21" customHeight="1" x14ac:dyDescent="0.2">
      <c r="D11" s="74"/>
    </row>
    <row r="12" spans="2:134" s="6" customFormat="1" ht="21" customHeight="1" x14ac:dyDescent="0.2">
      <c r="B12" s="22"/>
    </row>
    <row r="13" spans="2:134" s="6" customFormat="1" ht="21" customHeight="1" x14ac:dyDescent="0.2">
      <c r="B13" s="22"/>
      <c r="C13" s="108"/>
      <c r="D13" s="108"/>
      <c r="E13" s="108"/>
      <c r="F13" s="108"/>
      <c r="G13" s="108"/>
      <c r="H13" s="108"/>
      <c r="I13" s="108"/>
      <c r="J13" s="108"/>
      <c r="K13" s="108"/>
      <c r="L13" s="108"/>
      <c r="M13" s="108"/>
      <c r="N13" s="92"/>
      <c r="O13" s="92"/>
      <c r="P13" s="92"/>
      <c r="Q13" s="92"/>
      <c r="R13" s="92"/>
      <c r="S13" s="92"/>
      <c r="T13" s="92"/>
      <c r="U13" s="92"/>
      <c r="V13" s="92"/>
      <c r="W13" s="92"/>
      <c r="X13" s="92"/>
      <c r="Y13" s="92"/>
      <c r="Z13" s="92"/>
      <c r="AA13" s="92"/>
      <c r="AB13" s="92"/>
      <c r="AC13" s="92"/>
      <c r="AD13" s="92"/>
      <c r="AE13" s="92"/>
      <c r="AF13" s="92"/>
      <c r="AG13" s="92"/>
      <c r="AH13" s="92"/>
      <c r="AI13" s="92"/>
      <c r="AJ13" s="92"/>
      <c r="AK13" s="92"/>
      <c r="AL13" s="92"/>
      <c r="AM13" s="92"/>
      <c r="AN13" s="92"/>
      <c r="AO13" s="92"/>
      <c r="AP13" s="92"/>
      <c r="AQ13" s="92"/>
      <c r="AR13" s="92"/>
      <c r="AS13" s="92"/>
      <c r="AT13" s="92"/>
      <c r="AU13" s="92"/>
      <c r="AV13" s="92"/>
      <c r="AW13" s="92"/>
      <c r="AX13" s="92"/>
      <c r="AY13" s="92"/>
      <c r="AZ13" s="92"/>
      <c r="BA13" s="92"/>
      <c r="BB13" s="92"/>
      <c r="BC13" s="92"/>
      <c r="BD13" s="92"/>
      <c r="BE13" s="92"/>
      <c r="BF13" s="92"/>
      <c r="BG13" s="92"/>
      <c r="BH13" s="92"/>
      <c r="BI13" s="92"/>
      <c r="BJ13" s="92"/>
      <c r="BK13" s="92"/>
      <c r="BL13" s="92"/>
      <c r="BM13" s="92"/>
      <c r="BN13" s="92"/>
      <c r="BO13" s="92"/>
      <c r="BP13" s="92"/>
      <c r="BQ13" s="92"/>
      <c r="BR13" s="92"/>
      <c r="BS13" s="92"/>
      <c r="BT13" s="92"/>
      <c r="BU13" s="92"/>
      <c r="BV13" s="92"/>
      <c r="BW13" s="92"/>
      <c r="BX13" s="92"/>
      <c r="BY13" s="92"/>
      <c r="BZ13" s="92"/>
      <c r="CA13" s="92"/>
      <c r="CB13" s="92"/>
      <c r="CC13" s="92"/>
      <c r="CD13" s="92"/>
      <c r="CE13" s="92"/>
      <c r="CF13" s="92"/>
      <c r="CG13" s="92"/>
      <c r="CH13" s="92"/>
      <c r="CI13" s="92"/>
      <c r="CJ13" s="92"/>
      <c r="CK13" s="92"/>
      <c r="CL13" s="92"/>
      <c r="CM13" s="92"/>
      <c r="CN13" s="92"/>
      <c r="CO13" s="92"/>
      <c r="CP13" s="92"/>
      <c r="CQ13" s="92"/>
      <c r="CR13" s="92"/>
      <c r="CS13" s="92"/>
      <c r="CT13" s="92"/>
      <c r="CU13" s="92"/>
      <c r="CV13" s="92"/>
      <c r="CW13" s="92"/>
      <c r="CX13" s="92"/>
      <c r="CY13" s="92"/>
      <c r="CZ13" s="92"/>
      <c r="DA13" s="92"/>
      <c r="DB13" s="92"/>
      <c r="DC13" s="92"/>
      <c r="DD13" s="92"/>
      <c r="DE13" s="92"/>
      <c r="DF13" s="92"/>
      <c r="DG13" s="92"/>
      <c r="DH13" s="92"/>
      <c r="DI13" s="92"/>
      <c r="DJ13" s="92"/>
      <c r="DK13" s="92"/>
      <c r="DL13" s="92"/>
      <c r="DM13" s="92"/>
      <c r="DN13" s="92"/>
      <c r="DO13" s="92"/>
      <c r="DP13" s="92"/>
      <c r="DQ13" s="92"/>
      <c r="DR13" s="92"/>
      <c r="DS13" s="92"/>
      <c r="DT13" s="92"/>
      <c r="DU13" s="92"/>
      <c r="DV13" s="92"/>
      <c r="DW13" s="92"/>
      <c r="DX13" s="92"/>
      <c r="DY13" s="92"/>
      <c r="DZ13" s="92"/>
      <c r="EA13" s="92"/>
      <c r="EB13" s="92"/>
      <c r="EC13" s="92"/>
      <c r="ED13" s="92"/>
    </row>
    <row r="14" spans="2:134" ht="21" customHeight="1" x14ac:dyDescent="0.2">
      <c r="C14" s="117"/>
      <c r="D14" s="117"/>
      <c r="E14" s="117"/>
      <c r="F14" s="117"/>
      <c r="G14" s="117"/>
      <c r="H14" s="117"/>
      <c r="I14" s="117"/>
      <c r="J14" s="117"/>
      <c r="K14" s="117"/>
      <c r="L14" s="117"/>
      <c r="M14" s="117"/>
      <c r="N14" s="117"/>
      <c r="O14" s="117"/>
      <c r="P14" s="117"/>
      <c r="Q14" s="117"/>
      <c r="R14" s="117"/>
      <c r="S14" s="117"/>
      <c r="T14" s="117"/>
      <c r="U14" s="117"/>
      <c r="V14" s="117"/>
      <c r="W14" s="117"/>
      <c r="X14" s="117"/>
      <c r="Y14" s="117"/>
      <c r="Z14" s="117"/>
      <c r="AA14" s="117"/>
      <c r="AB14" s="117"/>
      <c r="AC14" s="117"/>
      <c r="AD14" s="117"/>
      <c r="AE14" s="117"/>
      <c r="AF14" s="117"/>
      <c r="AG14" s="117"/>
      <c r="AH14" s="117"/>
      <c r="AI14" s="117"/>
      <c r="AJ14" s="117"/>
      <c r="AK14" s="117"/>
      <c r="AL14" s="117"/>
      <c r="AM14" s="117"/>
      <c r="AN14" s="117"/>
      <c r="AO14" s="117"/>
      <c r="AP14" s="117"/>
      <c r="AQ14" s="117"/>
      <c r="AR14" s="117"/>
      <c r="AS14" s="117"/>
      <c r="AT14" s="117"/>
      <c r="AU14" s="117"/>
      <c r="AV14" s="117"/>
      <c r="AW14" s="117"/>
      <c r="AX14" s="117"/>
      <c r="AY14" s="117"/>
      <c r="AZ14" s="117"/>
      <c r="BA14" s="117"/>
      <c r="BB14" s="117"/>
      <c r="BC14" s="117"/>
      <c r="BD14" s="117"/>
      <c r="BE14" s="117"/>
      <c r="BF14" s="117"/>
      <c r="BG14" s="117"/>
      <c r="BH14" s="117"/>
      <c r="BI14" s="117"/>
      <c r="BJ14" s="117"/>
      <c r="BK14" s="117"/>
      <c r="BL14" s="117"/>
      <c r="BM14" s="117"/>
      <c r="BN14" s="117"/>
      <c r="BO14" s="117"/>
      <c r="BP14" s="117"/>
      <c r="BQ14" s="117"/>
      <c r="BR14" s="117"/>
      <c r="BS14" s="117"/>
      <c r="BT14" s="117"/>
      <c r="BU14" s="117"/>
      <c r="BV14" s="117"/>
      <c r="BW14" s="117"/>
      <c r="BX14" s="117"/>
      <c r="BY14" s="117"/>
      <c r="BZ14" s="117"/>
      <c r="CA14" s="117"/>
      <c r="CB14" s="117"/>
      <c r="CC14" s="117"/>
      <c r="CD14" s="117"/>
      <c r="CE14" s="117"/>
      <c r="CF14" s="117"/>
      <c r="CG14" s="117"/>
      <c r="CH14" s="117"/>
      <c r="CI14" s="117"/>
      <c r="CJ14" s="117"/>
      <c r="CK14" s="117"/>
      <c r="CL14" s="117"/>
      <c r="CM14" s="117"/>
      <c r="CN14" s="117"/>
      <c r="CO14" s="117"/>
      <c r="CP14" s="117"/>
      <c r="CQ14" s="117"/>
      <c r="CR14" s="117"/>
      <c r="CS14" s="117"/>
      <c r="CT14" s="117"/>
      <c r="CU14" s="117"/>
      <c r="CV14" s="117"/>
      <c r="CW14" s="117"/>
      <c r="CX14" s="117"/>
      <c r="CY14" s="117"/>
      <c r="CZ14" s="117"/>
      <c r="DA14" s="117"/>
      <c r="DB14" s="117"/>
      <c r="DC14" s="117"/>
      <c r="DD14" s="117"/>
      <c r="DE14" s="117"/>
      <c r="DF14" s="117"/>
      <c r="DG14" s="117"/>
      <c r="DH14" s="117"/>
      <c r="DI14" s="117"/>
      <c r="DJ14" s="117"/>
      <c r="DK14" s="117"/>
      <c r="DL14" s="117"/>
      <c r="DM14" s="117"/>
      <c r="DN14" s="117"/>
      <c r="DO14" s="117"/>
      <c r="DP14" s="117"/>
      <c r="DQ14" s="117"/>
      <c r="DR14" s="117"/>
      <c r="DS14" s="117"/>
      <c r="DT14" s="117"/>
      <c r="DU14" s="117"/>
      <c r="DV14" s="117"/>
      <c r="DW14" s="117"/>
      <c r="DX14" s="117"/>
      <c r="DY14" s="117"/>
      <c r="DZ14" s="117"/>
      <c r="EA14" s="117"/>
      <c r="EB14" s="117"/>
      <c r="EC14" s="117"/>
      <c r="ED14" s="117"/>
    </row>
    <row r="15" spans="2:134" ht="21" customHeight="1" x14ac:dyDescent="0.2">
      <c r="C15" s="25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6"/>
      <c r="AG15" s="26"/>
      <c r="AH15" s="26"/>
      <c r="AI15" s="26"/>
      <c r="AJ15" s="26"/>
      <c r="AK15" s="26"/>
      <c r="AL15" s="26"/>
      <c r="AM15" s="26"/>
      <c r="AN15" s="26"/>
      <c r="AO15" s="26"/>
      <c r="AP15" s="26"/>
      <c r="AQ15" s="26"/>
      <c r="AR15" s="26"/>
      <c r="AS15" s="26"/>
      <c r="AT15" s="26"/>
      <c r="AU15" s="26"/>
      <c r="AV15" s="26"/>
      <c r="AW15" s="26"/>
      <c r="AX15" s="26"/>
      <c r="AY15" s="26"/>
      <c r="AZ15" s="26"/>
      <c r="BA15" s="26"/>
      <c r="BB15" s="26"/>
      <c r="BC15" s="26"/>
      <c r="BD15" s="26"/>
      <c r="BE15" s="26"/>
      <c r="BF15" s="26"/>
      <c r="BG15" s="26"/>
      <c r="BH15" s="26"/>
      <c r="BI15" s="26"/>
      <c r="BJ15" s="26"/>
      <c r="BK15" s="26"/>
      <c r="BL15" s="26"/>
      <c r="BM15" s="26"/>
      <c r="BN15" s="26"/>
      <c r="BO15" s="26"/>
      <c r="BP15" s="26"/>
      <c r="BQ15" s="26"/>
      <c r="BR15" s="26"/>
      <c r="BS15" s="26"/>
      <c r="BT15" s="26"/>
      <c r="BU15" s="26"/>
      <c r="BV15" s="26"/>
      <c r="BW15" s="26"/>
      <c r="BX15" s="26"/>
      <c r="BY15" s="26"/>
      <c r="BZ15" s="26"/>
      <c r="CA15" s="26"/>
      <c r="CB15" s="26"/>
      <c r="CC15" s="26"/>
      <c r="CD15" s="26"/>
      <c r="CE15" s="26"/>
      <c r="CF15" s="26"/>
      <c r="CG15" s="26"/>
      <c r="CH15" s="26"/>
      <c r="CI15" s="26"/>
      <c r="CJ15" s="26"/>
      <c r="CK15" s="26"/>
      <c r="CL15" s="26"/>
      <c r="CM15" s="26"/>
      <c r="CN15" s="26"/>
      <c r="CO15" s="26"/>
      <c r="CP15" s="26"/>
      <c r="CQ15" s="26"/>
      <c r="CR15" s="26"/>
      <c r="CS15" s="26"/>
      <c r="CT15" s="26"/>
      <c r="CU15" s="26"/>
      <c r="CV15" s="26"/>
      <c r="CW15" s="26"/>
      <c r="CX15" s="26"/>
      <c r="CY15" s="26"/>
      <c r="CZ15" s="26"/>
      <c r="DA15" s="26"/>
      <c r="DB15" s="26"/>
      <c r="DC15" s="26"/>
      <c r="DD15" s="26"/>
      <c r="DE15" s="26"/>
      <c r="DF15" s="26"/>
      <c r="DG15" s="26"/>
      <c r="DH15" s="26"/>
      <c r="DI15" s="26"/>
      <c r="DJ15" s="26"/>
      <c r="DK15" s="26"/>
      <c r="DL15" s="26"/>
      <c r="DM15" s="26"/>
      <c r="DN15" s="26"/>
      <c r="DO15" s="26"/>
      <c r="DP15" s="26"/>
      <c r="DQ15" s="26"/>
      <c r="DR15" s="26"/>
      <c r="DS15" s="26"/>
      <c r="DT15" s="26"/>
      <c r="DU15" s="26"/>
      <c r="DV15" s="26"/>
      <c r="DW15" s="26"/>
      <c r="DX15" s="26"/>
      <c r="DY15" s="26"/>
      <c r="DZ15" s="26"/>
      <c r="EA15" s="26"/>
      <c r="EB15" s="26"/>
      <c r="EC15" s="26"/>
      <c r="ED15" s="26"/>
    </row>
    <row r="16" spans="2:134" s="23" customFormat="1" ht="21" customHeight="1" x14ac:dyDescent="0.2">
      <c r="B16" s="22"/>
      <c r="C16" s="27"/>
      <c r="D16" s="28"/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28"/>
      <c r="AF16" s="28"/>
      <c r="AG16" s="28"/>
      <c r="AH16" s="28"/>
      <c r="AI16" s="28"/>
      <c r="AJ16" s="28"/>
      <c r="AK16" s="28"/>
      <c r="AL16" s="28"/>
      <c r="AM16" s="28"/>
      <c r="AN16" s="28"/>
      <c r="AO16" s="28"/>
      <c r="AP16" s="28"/>
      <c r="AQ16" s="28"/>
      <c r="AR16" s="28"/>
      <c r="AS16" s="28"/>
      <c r="AT16" s="28"/>
      <c r="AU16" s="28"/>
      <c r="AV16" s="28"/>
      <c r="AW16" s="28"/>
      <c r="AX16" s="28"/>
      <c r="AY16" s="28"/>
      <c r="AZ16" s="28"/>
      <c r="BA16" s="28"/>
      <c r="BB16" s="28"/>
      <c r="BC16" s="28"/>
      <c r="BD16" s="28"/>
      <c r="BE16" s="28"/>
      <c r="BF16" s="28"/>
      <c r="BG16" s="28"/>
      <c r="BH16" s="28"/>
      <c r="BI16" s="28"/>
      <c r="BJ16" s="28"/>
      <c r="BK16" s="28"/>
      <c r="BL16" s="28"/>
      <c r="BM16" s="28"/>
      <c r="BN16" s="28"/>
      <c r="BO16" s="28"/>
      <c r="BP16" s="28"/>
      <c r="BQ16" s="28"/>
      <c r="BR16" s="28"/>
      <c r="BS16" s="28"/>
      <c r="BT16" s="28"/>
      <c r="BU16" s="28"/>
      <c r="BV16" s="28"/>
      <c r="BW16" s="28"/>
      <c r="BX16" s="28"/>
      <c r="BY16" s="28"/>
      <c r="BZ16" s="28"/>
      <c r="CA16" s="28"/>
      <c r="CB16" s="28"/>
      <c r="CC16" s="28"/>
      <c r="CD16" s="28"/>
      <c r="CE16" s="28"/>
      <c r="CF16" s="28"/>
      <c r="CG16" s="28"/>
      <c r="CH16" s="28"/>
      <c r="CI16" s="28"/>
      <c r="CJ16" s="28"/>
      <c r="CK16" s="28"/>
      <c r="CL16" s="28"/>
      <c r="CM16" s="28"/>
      <c r="CN16" s="28"/>
      <c r="CO16" s="28"/>
      <c r="CP16" s="28"/>
      <c r="CQ16" s="28"/>
      <c r="CR16" s="28"/>
      <c r="CS16" s="28"/>
      <c r="CT16" s="28"/>
      <c r="CU16" s="28"/>
      <c r="CV16" s="28"/>
      <c r="CW16" s="28"/>
      <c r="CX16" s="28"/>
      <c r="CY16" s="28"/>
      <c r="CZ16" s="28"/>
      <c r="DA16" s="28"/>
      <c r="DB16" s="28"/>
      <c r="DC16" s="28"/>
      <c r="DD16" s="28"/>
      <c r="DE16" s="28"/>
      <c r="DF16" s="28"/>
      <c r="DG16" s="28"/>
      <c r="DH16" s="28"/>
      <c r="DI16" s="28"/>
      <c r="DJ16" s="28"/>
      <c r="DK16" s="28"/>
      <c r="DL16" s="28"/>
      <c r="DM16" s="28"/>
      <c r="DN16" s="28"/>
      <c r="DO16" s="28"/>
      <c r="DP16" s="28"/>
      <c r="DQ16" s="28"/>
      <c r="DR16" s="28"/>
      <c r="DS16" s="28"/>
      <c r="DT16" s="28"/>
      <c r="DU16" s="28"/>
      <c r="DV16" s="28"/>
      <c r="DW16" s="28"/>
      <c r="DX16" s="28"/>
      <c r="DY16" s="28"/>
      <c r="DZ16" s="28"/>
      <c r="EA16" s="28"/>
      <c r="EB16" s="28"/>
      <c r="EC16" s="28"/>
      <c r="ED16" s="28"/>
    </row>
    <row r="17" spans="3:134" ht="21" customHeight="1" x14ac:dyDescent="0.2">
      <c r="C17" s="25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26"/>
      <c r="AF17" s="26"/>
      <c r="AG17" s="26"/>
      <c r="AH17" s="26"/>
      <c r="AI17" s="26"/>
      <c r="AJ17" s="26"/>
      <c r="AK17" s="26"/>
      <c r="AL17" s="26"/>
      <c r="AM17" s="26"/>
      <c r="AN17" s="26"/>
      <c r="AO17" s="26"/>
      <c r="AP17" s="26"/>
      <c r="AQ17" s="26"/>
      <c r="AR17" s="26"/>
      <c r="AS17" s="26"/>
      <c r="AT17" s="26"/>
      <c r="AU17" s="26"/>
      <c r="AV17" s="26"/>
      <c r="AW17" s="26"/>
      <c r="AX17" s="26"/>
      <c r="AY17" s="26"/>
      <c r="AZ17" s="26"/>
      <c r="BA17" s="26"/>
      <c r="BB17" s="26"/>
      <c r="BC17" s="26"/>
      <c r="BD17" s="26"/>
      <c r="BE17" s="26"/>
      <c r="BF17" s="26"/>
      <c r="BG17" s="26"/>
      <c r="BH17" s="26"/>
      <c r="BI17" s="26"/>
      <c r="BJ17" s="26"/>
      <c r="BK17" s="26"/>
      <c r="BL17" s="26"/>
      <c r="BM17" s="26"/>
      <c r="BN17" s="26"/>
      <c r="BO17" s="26"/>
      <c r="BP17" s="26"/>
      <c r="BQ17" s="26"/>
      <c r="BR17" s="26"/>
      <c r="BS17" s="26"/>
      <c r="BT17" s="26"/>
      <c r="BU17" s="26"/>
      <c r="BV17" s="26"/>
      <c r="BW17" s="26"/>
      <c r="BX17" s="26"/>
      <c r="BY17" s="26"/>
      <c r="BZ17" s="26"/>
      <c r="CA17" s="26"/>
      <c r="CB17" s="26"/>
      <c r="CC17" s="26"/>
      <c r="CD17" s="26"/>
      <c r="CE17" s="26"/>
      <c r="CF17" s="26"/>
      <c r="CG17" s="26"/>
      <c r="CH17" s="26"/>
      <c r="CI17" s="26"/>
      <c r="CJ17" s="26"/>
      <c r="CK17" s="26"/>
      <c r="CL17" s="26"/>
      <c r="CM17" s="26"/>
      <c r="CN17" s="26"/>
      <c r="CO17" s="26"/>
      <c r="CP17" s="26"/>
      <c r="CQ17" s="26"/>
      <c r="CR17" s="26"/>
      <c r="CS17" s="26"/>
      <c r="CT17" s="26"/>
      <c r="CU17" s="26"/>
      <c r="CV17" s="26"/>
      <c r="CW17" s="26"/>
      <c r="CX17" s="26"/>
      <c r="CY17" s="26"/>
      <c r="CZ17" s="26"/>
      <c r="DA17" s="26"/>
      <c r="DB17" s="26"/>
      <c r="DC17" s="26"/>
      <c r="DD17" s="26"/>
      <c r="DE17" s="26"/>
      <c r="DF17" s="26"/>
      <c r="DG17" s="26"/>
      <c r="DH17" s="26"/>
      <c r="DI17" s="26"/>
      <c r="DJ17" s="26"/>
      <c r="DK17" s="26"/>
      <c r="DL17" s="26"/>
      <c r="DM17" s="26"/>
      <c r="DN17" s="26"/>
      <c r="DO17" s="26"/>
      <c r="DP17" s="26"/>
      <c r="DQ17" s="26"/>
      <c r="DR17" s="26"/>
      <c r="DS17" s="26"/>
      <c r="DT17" s="26"/>
      <c r="DU17" s="26"/>
      <c r="DV17" s="26"/>
      <c r="DW17" s="26"/>
      <c r="DX17" s="26"/>
      <c r="DY17" s="26"/>
      <c r="DZ17" s="26"/>
      <c r="EA17" s="26"/>
      <c r="EB17" s="26"/>
      <c r="EC17" s="26"/>
      <c r="ED17" s="26"/>
    </row>
    <row r="18" spans="3:134" ht="21" customHeight="1" x14ac:dyDescent="0.2">
      <c r="C18" s="29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0"/>
      <c r="AA18" s="30"/>
      <c r="AB18" s="30"/>
      <c r="AC18" s="30"/>
      <c r="AD18" s="30"/>
      <c r="AE18" s="30"/>
      <c r="AF18" s="30"/>
      <c r="AG18" s="30"/>
      <c r="AH18" s="30"/>
      <c r="AI18" s="30"/>
      <c r="AJ18" s="30"/>
      <c r="AK18" s="30"/>
      <c r="AL18" s="30"/>
      <c r="AM18" s="30"/>
      <c r="AN18" s="30"/>
      <c r="AO18" s="30"/>
      <c r="AP18" s="30"/>
      <c r="AQ18" s="30"/>
      <c r="AR18" s="30"/>
      <c r="AS18" s="30"/>
      <c r="AT18" s="30"/>
      <c r="AU18" s="30"/>
      <c r="AV18" s="30"/>
      <c r="AW18" s="30"/>
      <c r="AX18" s="30"/>
      <c r="AY18" s="30"/>
      <c r="AZ18" s="30"/>
      <c r="BA18" s="30"/>
      <c r="BB18" s="30"/>
      <c r="BC18" s="30"/>
      <c r="BD18" s="30"/>
      <c r="BE18" s="30"/>
      <c r="BF18" s="30"/>
      <c r="BG18" s="30"/>
      <c r="BH18" s="30"/>
      <c r="BI18" s="30"/>
      <c r="BJ18" s="30"/>
      <c r="BK18" s="30"/>
      <c r="BL18" s="30"/>
      <c r="BM18" s="30"/>
      <c r="BN18" s="30"/>
      <c r="BO18" s="30"/>
      <c r="BP18" s="30"/>
      <c r="BQ18" s="30"/>
      <c r="BR18" s="30"/>
      <c r="BS18" s="30"/>
      <c r="BT18" s="30"/>
      <c r="BU18" s="30"/>
      <c r="BV18" s="30"/>
      <c r="BW18" s="30"/>
      <c r="BX18" s="30"/>
      <c r="BY18" s="30"/>
      <c r="BZ18" s="30"/>
      <c r="CA18" s="30"/>
      <c r="CB18" s="30"/>
      <c r="CC18" s="30"/>
      <c r="CD18" s="30"/>
      <c r="CE18" s="30"/>
      <c r="CF18" s="30"/>
      <c r="CG18" s="30"/>
      <c r="CH18" s="30"/>
      <c r="CI18" s="30"/>
      <c r="CJ18" s="30"/>
      <c r="CK18" s="30"/>
      <c r="CL18" s="30"/>
      <c r="CM18" s="30"/>
      <c r="CN18" s="30"/>
      <c r="CO18" s="30"/>
      <c r="CP18" s="30"/>
      <c r="CQ18" s="30"/>
      <c r="CR18" s="30"/>
      <c r="CS18" s="30"/>
      <c r="CT18" s="30"/>
      <c r="CU18" s="30"/>
      <c r="CV18" s="30"/>
      <c r="CW18" s="30"/>
      <c r="CX18" s="30"/>
      <c r="CY18" s="30"/>
      <c r="CZ18" s="30"/>
      <c r="DA18" s="30"/>
      <c r="DB18" s="30"/>
      <c r="DC18" s="30"/>
      <c r="DD18" s="30"/>
      <c r="DE18" s="30"/>
      <c r="DF18" s="30"/>
      <c r="DG18" s="30"/>
      <c r="DH18" s="30"/>
      <c r="DI18" s="30"/>
      <c r="DJ18" s="30"/>
      <c r="DK18" s="30"/>
      <c r="DL18" s="30"/>
      <c r="DM18" s="30"/>
      <c r="DN18" s="30"/>
      <c r="DO18" s="30"/>
      <c r="DP18" s="30"/>
      <c r="DQ18" s="30"/>
      <c r="DR18" s="30"/>
      <c r="DS18" s="30"/>
      <c r="DT18" s="30"/>
      <c r="DU18" s="30"/>
      <c r="DV18" s="30"/>
      <c r="DW18" s="30"/>
      <c r="DX18" s="30"/>
      <c r="DY18" s="30"/>
      <c r="DZ18" s="30"/>
      <c r="EA18" s="30"/>
      <c r="EB18" s="30"/>
      <c r="EC18" s="30"/>
      <c r="ED18" s="30"/>
    </row>
    <row r="79" spans="5:5" x14ac:dyDescent="0.2">
      <c r="E79" s="47"/>
    </row>
  </sheetData>
  <printOptions horizontalCentered="1"/>
  <pageMargins left="0.7" right="0.7" top="0.2" bottom="0.2" header="0.3" footer="0.3"/>
  <pageSetup paperSize="9" scale="15" orientation="landscape" horizontalDpi="0" verticalDpi="0"/>
  <headerFooter>
    <oddHeader>&amp;A</oddHead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DE79F-0E62-A148-B513-3B87D95314FB}">
  <sheetPr>
    <pageSetUpPr fitToPage="1"/>
  </sheetPr>
  <dimension ref="A3:EE186"/>
  <sheetViews>
    <sheetView showGridLines="0" topLeftCell="B18" zoomScaleNormal="142" workbookViewId="0">
      <selection activeCell="AJ22" sqref="AJ22"/>
    </sheetView>
  </sheetViews>
  <sheetFormatPr baseColWidth="10" defaultRowHeight="16" x14ac:dyDescent="0.2"/>
  <cols>
    <col min="1" max="2" width="10.83203125" style="1"/>
    <col min="3" max="3" width="10.83203125" style="22"/>
    <col min="4" max="14" width="15.1640625" style="1" customWidth="1"/>
    <col min="15" max="20" width="11.5" style="1" bestFit="1" customWidth="1"/>
    <col min="21" max="16384" width="10.83203125" style="1"/>
  </cols>
  <sheetData>
    <row r="3" spans="2:135" s="6" customFormat="1" ht="21" customHeight="1" x14ac:dyDescent="0.2">
      <c r="C3" s="22" t="s">
        <v>109</v>
      </c>
      <c r="D3" s="6">
        <v>0</v>
      </c>
      <c r="E3" s="6">
        <v>1</v>
      </c>
      <c r="F3" s="6">
        <v>2</v>
      </c>
      <c r="G3" s="6">
        <v>3</v>
      </c>
      <c r="H3" s="6">
        <v>4</v>
      </c>
      <c r="I3" s="6">
        <v>5</v>
      </c>
      <c r="J3" s="6">
        <v>6</v>
      </c>
      <c r="K3" s="6">
        <v>7</v>
      </c>
      <c r="L3" s="6">
        <v>8</v>
      </c>
      <c r="M3" s="6">
        <v>9</v>
      </c>
      <c r="N3" s="6">
        <v>10</v>
      </c>
    </row>
    <row r="4" spans="2:135" s="6" customFormat="1" ht="21" customHeight="1" x14ac:dyDescent="0.2">
      <c r="B4" s="6" t="s">
        <v>107</v>
      </c>
      <c r="C4" s="22" t="s">
        <v>64</v>
      </c>
      <c r="D4" s="95">
        <v>44927</v>
      </c>
      <c r="E4" s="95">
        <v>44958</v>
      </c>
      <c r="F4" s="95">
        <v>44986</v>
      </c>
      <c r="G4" s="95">
        <v>45017</v>
      </c>
      <c r="H4" s="95">
        <v>45047</v>
      </c>
      <c r="I4" s="95">
        <v>45078</v>
      </c>
      <c r="J4" s="95">
        <v>45108</v>
      </c>
      <c r="K4" s="95">
        <v>45139</v>
      </c>
      <c r="L4" s="95">
        <v>45170</v>
      </c>
      <c r="M4" s="95">
        <v>45200</v>
      </c>
      <c r="N4" s="95">
        <v>45231</v>
      </c>
      <c r="O4" s="95">
        <v>45261</v>
      </c>
      <c r="P4" s="95">
        <v>45292</v>
      </c>
      <c r="Q4" s="95">
        <v>45323</v>
      </c>
      <c r="R4" s="95">
        <v>45352</v>
      </c>
      <c r="S4" s="95">
        <v>45383</v>
      </c>
      <c r="T4" s="95">
        <v>45413</v>
      </c>
      <c r="U4" s="95">
        <v>45444</v>
      </c>
      <c r="V4" s="95">
        <v>45474</v>
      </c>
      <c r="W4" s="95">
        <v>45505</v>
      </c>
      <c r="X4" s="95">
        <v>45536</v>
      </c>
      <c r="Y4" s="95">
        <v>45566</v>
      </c>
      <c r="Z4" s="95">
        <v>45597</v>
      </c>
      <c r="AA4" s="95">
        <v>45627</v>
      </c>
      <c r="AB4" s="95">
        <v>45658</v>
      </c>
      <c r="AC4" s="95">
        <v>45689</v>
      </c>
      <c r="AD4" s="95">
        <v>45717</v>
      </c>
      <c r="AE4" s="95">
        <v>45748</v>
      </c>
      <c r="AF4" s="95">
        <v>45778</v>
      </c>
      <c r="AG4" s="95">
        <v>45809</v>
      </c>
      <c r="AH4" s="95">
        <v>45839</v>
      </c>
      <c r="AI4" s="95">
        <v>45870</v>
      </c>
      <c r="AJ4" s="95">
        <v>45901</v>
      </c>
      <c r="AK4" s="95">
        <v>45931</v>
      </c>
      <c r="AL4" s="95">
        <v>45962</v>
      </c>
      <c r="AM4" s="95">
        <v>45992</v>
      </c>
      <c r="AN4" s="95">
        <v>46023</v>
      </c>
      <c r="AO4" s="95">
        <v>46054</v>
      </c>
      <c r="AP4" s="95">
        <v>46082</v>
      </c>
      <c r="AQ4" s="95">
        <v>46113</v>
      </c>
      <c r="AR4" s="95">
        <v>46143</v>
      </c>
      <c r="AS4" s="95">
        <v>46174</v>
      </c>
      <c r="AT4" s="95">
        <v>46204</v>
      </c>
      <c r="AU4" s="95">
        <v>46235</v>
      </c>
      <c r="AV4" s="95">
        <v>46266</v>
      </c>
      <c r="AW4" s="95">
        <v>46296</v>
      </c>
      <c r="AX4" s="95">
        <v>46327</v>
      </c>
      <c r="AY4" s="95">
        <v>46357</v>
      </c>
      <c r="AZ4" s="95">
        <v>46388</v>
      </c>
      <c r="BA4" s="95">
        <v>46419</v>
      </c>
      <c r="BB4" s="95">
        <v>46447</v>
      </c>
      <c r="BC4" s="95">
        <v>46478</v>
      </c>
      <c r="BD4" s="95">
        <v>46508</v>
      </c>
      <c r="BE4" s="95">
        <v>46539</v>
      </c>
      <c r="BF4" s="95">
        <v>46569</v>
      </c>
      <c r="BG4" s="95">
        <v>46600</v>
      </c>
      <c r="BH4" s="95">
        <v>46631</v>
      </c>
      <c r="BI4" s="95">
        <v>46661</v>
      </c>
      <c r="BJ4" s="95">
        <v>46692</v>
      </c>
      <c r="BK4" s="95">
        <v>46722</v>
      </c>
      <c r="BL4" s="95">
        <v>46753</v>
      </c>
      <c r="BM4" s="95">
        <v>46784</v>
      </c>
      <c r="BN4" s="95">
        <v>46813</v>
      </c>
      <c r="BO4" s="95">
        <v>46844</v>
      </c>
      <c r="BP4" s="95">
        <v>46874</v>
      </c>
      <c r="BQ4" s="95">
        <v>46905</v>
      </c>
      <c r="BR4" s="95">
        <v>46935</v>
      </c>
      <c r="BS4" s="95">
        <v>46966</v>
      </c>
      <c r="BT4" s="95">
        <v>46997</v>
      </c>
      <c r="BU4" s="95">
        <v>47027</v>
      </c>
      <c r="BV4" s="95">
        <v>47058</v>
      </c>
      <c r="BW4" s="95">
        <v>47088</v>
      </c>
      <c r="BX4" s="95">
        <v>47119</v>
      </c>
      <c r="BY4" s="95">
        <v>47150</v>
      </c>
      <c r="BZ4" s="95">
        <v>47178</v>
      </c>
      <c r="CA4" s="95">
        <v>47209</v>
      </c>
      <c r="CB4" s="95">
        <v>47239</v>
      </c>
      <c r="CC4" s="95">
        <v>47270</v>
      </c>
      <c r="CD4" s="95">
        <v>47300</v>
      </c>
      <c r="CE4" s="95">
        <v>47331</v>
      </c>
      <c r="CF4" s="95">
        <v>47362</v>
      </c>
      <c r="CG4" s="95">
        <v>47392</v>
      </c>
      <c r="CH4" s="95">
        <v>47423</v>
      </c>
      <c r="CI4" s="95">
        <v>47453</v>
      </c>
      <c r="CJ4" s="95">
        <v>47484</v>
      </c>
      <c r="CK4" s="95">
        <v>47515</v>
      </c>
      <c r="CL4" s="95">
        <v>47543</v>
      </c>
      <c r="CM4" s="95">
        <v>47574</v>
      </c>
      <c r="CN4" s="95">
        <v>47604</v>
      </c>
      <c r="CO4" s="95">
        <v>47635</v>
      </c>
      <c r="CP4" s="95">
        <v>47665</v>
      </c>
      <c r="CQ4" s="95">
        <v>47696</v>
      </c>
      <c r="CR4" s="95">
        <v>47727</v>
      </c>
      <c r="CS4" s="95">
        <v>47757</v>
      </c>
      <c r="CT4" s="95">
        <v>47788</v>
      </c>
      <c r="CU4" s="95">
        <v>47818</v>
      </c>
      <c r="CV4" s="95">
        <v>47849</v>
      </c>
      <c r="CW4" s="95">
        <v>47880</v>
      </c>
      <c r="CX4" s="95">
        <v>47908</v>
      </c>
      <c r="CY4" s="95">
        <v>47939</v>
      </c>
      <c r="CZ4" s="95">
        <v>47969</v>
      </c>
      <c r="DA4" s="95">
        <v>48000</v>
      </c>
      <c r="DB4" s="95">
        <v>48030</v>
      </c>
      <c r="DC4" s="95">
        <v>48061</v>
      </c>
      <c r="DD4" s="95">
        <v>48092</v>
      </c>
      <c r="DE4" s="95">
        <v>48122</v>
      </c>
      <c r="DF4" s="95">
        <v>48153</v>
      </c>
      <c r="DG4" s="95">
        <v>48183</v>
      </c>
      <c r="DH4" s="95">
        <v>48214</v>
      </c>
      <c r="DI4" s="95">
        <v>48245</v>
      </c>
      <c r="DJ4" s="95">
        <v>48274</v>
      </c>
      <c r="DK4" s="95">
        <v>48305</v>
      </c>
      <c r="DL4" s="95">
        <v>48335</v>
      </c>
      <c r="DM4" s="95">
        <v>48366</v>
      </c>
      <c r="DN4" s="95">
        <v>48396</v>
      </c>
      <c r="DO4" s="95">
        <v>48427</v>
      </c>
      <c r="DP4" s="95">
        <v>48458</v>
      </c>
      <c r="DQ4" s="95">
        <v>48488</v>
      </c>
      <c r="DR4" s="95">
        <v>48519</v>
      </c>
      <c r="DS4" s="95">
        <v>48549</v>
      </c>
      <c r="DT4" s="95">
        <v>48580</v>
      </c>
      <c r="DU4" s="95">
        <v>48611</v>
      </c>
      <c r="DV4" s="95">
        <v>48639</v>
      </c>
      <c r="DW4" s="95">
        <v>48670</v>
      </c>
      <c r="DX4" s="95">
        <v>48700</v>
      </c>
      <c r="DY4" s="95">
        <v>48731</v>
      </c>
      <c r="DZ4" s="95">
        <v>48761</v>
      </c>
      <c r="EA4" s="95">
        <v>48792</v>
      </c>
      <c r="EB4" s="95">
        <v>48823</v>
      </c>
      <c r="EC4" s="95">
        <v>48853</v>
      </c>
      <c r="ED4" s="95">
        <v>48884</v>
      </c>
      <c r="EE4" s="95">
        <v>48914</v>
      </c>
    </row>
    <row r="5" spans="2:135" s="6" customFormat="1" ht="21" customHeight="1" x14ac:dyDescent="0.2">
      <c r="B5" s="110">
        <v>60456.72</v>
      </c>
      <c r="C5" s="22" t="s">
        <v>108</v>
      </c>
      <c r="D5" s="97">
        <f>'TE Office (m)'!C8</f>
        <v>44928.815342773254</v>
      </c>
      <c r="E5" s="97">
        <f>'TE Office (m)'!D8</f>
        <v>44928.815342773254</v>
      </c>
      <c r="F5" s="97">
        <f>'TE Office (m)'!E8</f>
        <v>44676.970832326013</v>
      </c>
      <c r="G5" s="97">
        <f>'TE Office (m)'!F8</f>
        <v>44676.970832326013</v>
      </c>
      <c r="H5" s="97">
        <f>'TE Office (m)'!G8</f>
        <v>44814.640832326011</v>
      </c>
      <c r="I5" s="97">
        <f>'TE Office (m)'!H8</f>
        <v>44814.640832326011</v>
      </c>
      <c r="J5" s="97">
        <f>'TE Office (m)'!I8</f>
        <v>49667.978276055313</v>
      </c>
      <c r="K5" s="97">
        <f>'TE Office (m)'!J8</f>
        <v>51228.788276055311</v>
      </c>
      <c r="L5" s="97">
        <f>'TE Office (m)'!K8</f>
        <v>51228.788276055311</v>
      </c>
      <c r="M5" s="97">
        <f>'TE Office (m)'!L8</f>
        <v>52458.848276055309</v>
      </c>
      <c r="N5" s="97">
        <f>'TE Office (m)'!M8</f>
        <v>52031.478276055313</v>
      </c>
      <c r="O5" s="97">
        <f>'TE Office (m)'!N8</f>
        <v>52520.128276055315</v>
      </c>
      <c r="P5" s="97">
        <f>'TE Office (m)'!O8</f>
        <v>53441.058276055308</v>
      </c>
      <c r="Q5" s="97">
        <f>'TE Office (m)'!P8</f>
        <v>53403.648276055304</v>
      </c>
      <c r="R5" s="97">
        <f>'TE Office (m)'!Q8</f>
        <v>53403.648276055304</v>
      </c>
      <c r="S5" s="97">
        <f>'TE Office (m)'!R8</f>
        <v>53673.378276055308</v>
      </c>
      <c r="T5" s="97">
        <f>'TE Office (m)'!S8</f>
        <v>53673.378276055308</v>
      </c>
      <c r="U5" s="97">
        <f>'TE Office (m)'!T8</f>
        <v>53673.378276055308</v>
      </c>
      <c r="V5" s="97">
        <f>'TE Office (m)'!U8</f>
        <v>53945.458276055309</v>
      </c>
      <c r="W5" s="97">
        <f>'TE Office (m)'!V8</f>
        <v>53945.458276055309</v>
      </c>
      <c r="X5" s="97">
        <f>'TE Office (m)'!W8</f>
        <v>53945.458276055309</v>
      </c>
      <c r="Y5" s="97">
        <f>'TE Office (m)'!X8</f>
        <v>53945.458276055309</v>
      </c>
      <c r="Z5" s="97">
        <f>'TE Office (m)'!Y8</f>
        <v>53945.458276055309</v>
      </c>
      <c r="AA5" s="97">
        <f>'TE Office (m)'!Z8</f>
        <v>53945.458276055309</v>
      </c>
      <c r="AB5" s="97">
        <f>'TE Office (m)'!AA8</f>
        <v>53945.458276055309</v>
      </c>
      <c r="AC5" s="97">
        <f>'TE Office (m)'!AB8</f>
        <v>53945.458276055309</v>
      </c>
      <c r="AD5" s="97">
        <f>'TE Office (m)'!AC8</f>
        <v>53945.458276055309</v>
      </c>
      <c r="AE5" s="97">
        <f>'TE Office (m)'!AD8</f>
        <v>53945.458276055309</v>
      </c>
      <c r="AF5" s="97">
        <f>'TE Office (m)'!AE8</f>
        <v>53638.538276055311</v>
      </c>
      <c r="AG5" s="97">
        <f>'TE Office (m)'!AF8</f>
        <v>53638.538276055311</v>
      </c>
      <c r="AH5" s="97">
        <f>'TE Office (m)'!AG8</f>
        <v>53638.538276055311</v>
      </c>
      <c r="AI5" s="97">
        <f>'TE Office (m)'!AH8</f>
        <v>53638.538276055311</v>
      </c>
      <c r="AJ5" s="97">
        <f>'TE Office (m)'!AI8</f>
        <v>53638.538276055311</v>
      </c>
      <c r="AK5" s="97">
        <f>'TE Office (m)'!AJ8</f>
        <v>53638.538276055311</v>
      </c>
      <c r="AL5" s="97">
        <f>'TE Office (m)'!AK8</f>
        <v>53640.538276055311</v>
      </c>
      <c r="AM5" s="97">
        <f>'TE Office (m)'!AL8</f>
        <v>53640.538276055311</v>
      </c>
      <c r="AN5" s="97">
        <f>'TE Office (m)'!AM8</f>
        <v>53640.538276055311</v>
      </c>
      <c r="AO5" s="97">
        <f>'TE Office (m)'!AN8</f>
        <v>53640.538276055311</v>
      </c>
      <c r="AP5" s="97">
        <f>'TE Office (m)'!AO8</f>
        <v>53640.538276055311</v>
      </c>
      <c r="AQ5" s="97">
        <f>'TE Office (m)'!AP8</f>
        <v>53640.538276055311</v>
      </c>
      <c r="AR5" s="97">
        <f>'TE Office (m)'!AQ8</f>
        <v>53502.868276055306</v>
      </c>
      <c r="AS5" s="97">
        <f>'TE Office (m)'!AR8</f>
        <v>53502.868276055306</v>
      </c>
      <c r="AT5" s="97">
        <f>'TE Office (m)'!AS8</f>
        <v>53366.888276055302</v>
      </c>
      <c r="AU5" s="97">
        <f>'TE Office (m)'!AT8</f>
        <v>53366.888276055302</v>
      </c>
      <c r="AV5" s="97">
        <f>'TE Office (m)'!AU8</f>
        <v>53366.888276055302</v>
      </c>
      <c r="AW5" s="97">
        <f>'TE Office (m)'!AV8</f>
        <v>53366.888276055302</v>
      </c>
      <c r="AX5" s="97">
        <f>'TE Office (m)'!AW8</f>
        <v>53366.888276055302</v>
      </c>
      <c r="AY5" s="97">
        <f>'TE Office (m)'!AX8</f>
        <v>53366.888276055302</v>
      </c>
      <c r="AZ5" s="97">
        <f>'TE Office (m)'!AY8</f>
        <v>53791.899108381323</v>
      </c>
      <c r="BA5" s="97">
        <f>'TE Office (m)'!AZ8</f>
        <v>53791.899108381323</v>
      </c>
      <c r="BB5" s="97">
        <f>'TE Office (m)'!BA8</f>
        <v>53791.899108381323</v>
      </c>
      <c r="BC5" s="97">
        <f>'TE Office (m)'!BB8</f>
        <v>53791.899108381323</v>
      </c>
      <c r="BD5" s="97">
        <f>'TE Office (m)'!BC8</f>
        <v>53791.899108381323</v>
      </c>
      <c r="BE5" s="97">
        <f>'TE Office (m)'!BD8</f>
        <v>53791.899108381323</v>
      </c>
      <c r="BF5" s="97">
        <f>'TE Office (m)'!BE8</f>
        <v>53791.899108381323</v>
      </c>
      <c r="BG5" s="97">
        <f>'TE Office (m)'!BF8</f>
        <v>53791.899108381323</v>
      </c>
      <c r="BH5" s="97">
        <f>'TE Office (m)'!BG8</f>
        <v>50696.449108381326</v>
      </c>
      <c r="BI5" s="97">
        <f>'TE Office (m)'!BH8</f>
        <v>50696.449108381326</v>
      </c>
      <c r="BJ5" s="97">
        <f>'TE Office (m)'!BI8</f>
        <v>50696.449108381326</v>
      </c>
      <c r="BK5" s="97">
        <f>'TE Office (m)'!BJ8</f>
        <v>50696.449108381326</v>
      </c>
      <c r="BL5" s="97">
        <f>'TE Office (m)'!BK8</f>
        <v>52905.969313511392</v>
      </c>
      <c r="BM5" s="97">
        <f>'TE Office (m)'!BL8</f>
        <v>52905.969313511392</v>
      </c>
      <c r="BN5" s="97">
        <f>'TE Office (m)'!BM8</f>
        <v>52905.969313511392</v>
      </c>
      <c r="BO5" s="97">
        <f>'TE Office (m)'!BN8</f>
        <v>52905.969313511392</v>
      </c>
      <c r="BP5" s="97">
        <f>'TE Office (m)'!BO8</f>
        <v>52905.969313511392</v>
      </c>
      <c r="BQ5" s="97">
        <f>'TE Office (m)'!BP8</f>
        <v>52905.969313511392</v>
      </c>
      <c r="BR5" s="97">
        <f>'TE Office (m)'!BQ8</f>
        <v>52905.969313511392</v>
      </c>
      <c r="BS5" s="97">
        <f>'TE Office (m)'!BR8</f>
        <v>52905.969313511392</v>
      </c>
      <c r="BT5" s="97">
        <f>'TE Office (m)'!BS8</f>
        <v>52905.969313511392</v>
      </c>
      <c r="BU5" s="97">
        <f>'TE Office (m)'!BT8</f>
        <v>52905.969313511392</v>
      </c>
      <c r="BV5" s="97">
        <f>'TE Office (m)'!BU8</f>
        <v>52905.969313511392</v>
      </c>
      <c r="BW5" s="97">
        <f>'TE Office (m)'!BV8</f>
        <v>52905.969313511392</v>
      </c>
      <c r="BX5" s="97">
        <f>'TE Office (m)'!BW8</f>
        <v>53689.379313511396</v>
      </c>
      <c r="BY5" s="97">
        <f>'TE Office (m)'!BX8</f>
        <v>53689.379313511396</v>
      </c>
      <c r="BZ5" s="97">
        <f>'TE Office (m)'!BY8</f>
        <v>53689.379313511396</v>
      </c>
      <c r="CA5" s="97">
        <f>'TE Office (m)'!BZ8</f>
        <v>53402.039313511399</v>
      </c>
      <c r="CB5" s="97">
        <f>'TE Office (m)'!CA8</f>
        <v>53677.369313511401</v>
      </c>
      <c r="CC5" s="97">
        <f>'TE Office (m)'!CB8</f>
        <v>53677.369313511401</v>
      </c>
      <c r="CD5" s="97">
        <f>'TE Office (m)'!CC8</f>
        <v>53949.449313511403</v>
      </c>
      <c r="CE5" s="97">
        <f>'TE Office (m)'!CD8</f>
        <v>53674.119313511401</v>
      </c>
      <c r="CF5" s="97">
        <f>'TE Office (m)'!CE8</f>
        <v>53674.119313511401</v>
      </c>
      <c r="CG5" s="97">
        <f>'TE Office (m)'!CF8</f>
        <v>53536.599313511404</v>
      </c>
      <c r="CH5" s="97">
        <f>'TE Office (m)'!CG8</f>
        <v>53536.599313511404</v>
      </c>
      <c r="CI5" s="97">
        <f>'TE Office (m)'!CH8</f>
        <v>53536.599313511404</v>
      </c>
      <c r="CJ5" s="97">
        <f>'TE Office (m)'!CI8</f>
        <v>52481.109313511399</v>
      </c>
      <c r="CK5" s="97">
        <f>'TE Office (m)'!CJ8</f>
        <v>52481.109313511399</v>
      </c>
      <c r="CL5" s="97">
        <f>'TE Office (m)'!CK8</f>
        <v>52481.109313511399</v>
      </c>
      <c r="CM5" s="97">
        <f>'TE Office (m)'!CL8</f>
        <v>52481.109313511399</v>
      </c>
      <c r="CN5" s="97">
        <f>'TE Office (m)'!CM8</f>
        <v>52481.109313511399</v>
      </c>
      <c r="CO5" s="97">
        <f>'TE Office (m)'!CN8</f>
        <v>52481.109313511399</v>
      </c>
      <c r="CP5" s="97">
        <f>'TE Office (m)'!CO8</f>
        <v>54028.789313511399</v>
      </c>
      <c r="CQ5" s="97">
        <f>'TE Office (m)'!CP8</f>
        <v>54028.789313511399</v>
      </c>
      <c r="CR5" s="97">
        <f>'TE Office (m)'!CQ8</f>
        <v>54028.789313511399</v>
      </c>
      <c r="CS5" s="97">
        <f>'TE Office (m)'!CR8</f>
        <v>54028.789313511399</v>
      </c>
      <c r="CT5" s="97">
        <f>'TE Office (m)'!CS8</f>
        <v>54028.789313511399</v>
      </c>
      <c r="CU5" s="97">
        <f>'TE Office (m)'!CT8</f>
        <v>54028.789313511399</v>
      </c>
      <c r="CV5" s="97">
        <f>'TE Office (m)'!CU8</f>
        <v>54028.789313511399</v>
      </c>
      <c r="CW5" s="97">
        <f>'TE Office (m)'!CV8</f>
        <v>54028.789313511399</v>
      </c>
      <c r="CX5" s="97">
        <f>'TE Office (m)'!CW8</f>
        <v>54028.789313511399</v>
      </c>
      <c r="CY5" s="97">
        <f>'TE Office (m)'!CX8</f>
        <v>54028.789313511399</v>
      </c>
      <c r="CZ5" s="97">
        <f>'TE Office (m)'!CY8</f>
        <v>54028.789313511399</v>
      </c>
      <c r="DA5" s="97">
        <f>'TE Office (m)'!CZ8</f>
        <v>54028.789313511399</v>
      </c>
      <c r="DB5" s="97">
        <f>'TE Office (m)'!DA8</f>
        <v>54028.789313511399</v>
      </c>
      <c r="DC5" s="97">
        <f>'TE Office (m)'!DB8</f>
        <v>54028.789313511399</v>
      </c>
      <c r="DD5" s="97">
        <f>'TE Office (m)'!DC8</f>
        <v>54028.789313511399</v>
      </c>
      <c r="DE5" s="97">
        <f>'TE Office (m)'!DD8</f>
        <v>54028.789313511399</v>
      </c>
      <c r="DF5" s="97">
        <f>'TE Office (m)'!DE8</f>
        <v>54028.789313511399</v>
      </c>
      <c r="DG5" s="97">
        <f>'TE Office (m)'!DF8</f>
        <v>54028.789313511399</v>
      </c>
      <c r="DH5" s="97">
        <f>'TE Office (m)'!DG8</f>
        <v>54028.789313511399</v>
      </c>
      <c r="DI5" s="97">
        <f>'TE Office (m)'!DH8</f>
        <v>54028.789313511399</v>
      </c>
      <c r="DJ5" s="97">
        <f>'TE Office (m)'!DI8</f>
        <v>54028.789313511399</v>
      </c>
      <c r="DK5" s="97">
        <f>'TE Office (m)'!DJ8</f>
        <v>54028.789313511399</v>
      </c>
      <c r="DL5" s="97">
        <f>'TE Office (m)'!DK8</f>
        <v>54028.789313511399</v>
      </c>
      <c r="DM5" s="97">
        <f>'TE Office (m)'!DL8</f>
        <v>54028.789313511399</v>
      </c>
      <c r="DN5" s="97">
        <f>'TE Office (m)'!DM8</f>
        <v>54028.789313511399</v>
      </c>
      <c r="DO5" s="97">
        <f>'TE Office (m)'!DN8</f>
        <v>54028.789313511399</v>
      </c>
      <c r="DP5" s="97">
        <f>'TE Office (m)'!DO8</f>
        <v>54028.789313511399</v>
      </c>
      <c r="DQ5" s="97">
        <f>'TE Office (m)'!DP8</f>
        <v>54028.789313511399</v>
      </c>
      <c r="DR5" s="97">
        <f>'TE Office (m)'!DQ8</f>
        <v>54028.789313511399</v>
      </c>
      <c r="DS5" s="97">
        <f>'TE Office (m)'!DR8</f>
        <v>54028.789313511399</v>
      </c>
      <c r="DT5" s="97">
        <f>'TE Office (m)'!DS8</f>
        <v>54028.789313511399</v>
      </c>
      <c r="DU5" s="97">
        <f>'TE Office (m)'!DT8</f>
        <v>54028.789313511399</v>
      </c>
      <c r="DV5" s="97">
        <f>'TE Office (m)'!DU8</f>
        <v>54028.789313511399</v>
      </c>
      <c r="DW5" s="97">
        <f>'TE Office (m)'!DV8</f>
        <v>54028.789313511399</v>
      </c>
      <c r="DX5" s="97">
        <f>'TE Office (m)'!DW8</f>
        <v>54028.789313511399</v>
      </c>
      <c r="DY5" s="97">
        <f>'TE Office (m)'!DX8</f>
        <v>54028.789313511399</v>
      </c>
      <c r="DZ5" s="97">
        <f>'TE Office (m)'!DY8</f>
        <v>54028.789313511399</v>
      </c>
      <c r="EA5" s="97">
        <f>'TE Office (m)'!DZ8</f>
        <v>54028.789313511399</v>
      </c>
      <c r="EB5" s="97">
        <f>'TE Office (m)'!EA8</f>
        <v>54028.789313511399</v>
      </c>
      <c r="EC5" s="97">
        <f>'TE Office (m)'!EB8</f>
        <v>54028.789313511399</v>
      </c>
      <c r="ED5" s="97">
        <f>'TE Office (m)'!EC8</f>
        <v>54028.789313511399</v>
      </c>
      <c r="EE5" s="97">
        <f>'TE Office (m)'!ED8</f>
        <v>54028.789313511399</v>
      </c>
    </row>
    <row r="6" spans="2:135" ht="21" customHeight="1" x14ac:dyDescent="0.2">
      <c r="B6" s="47">
        <v>1021.86</v>
      </c>
      <c r="C6" s="22" t="s">
        <v>104</v>
      </c>
      <c r="D6" s="98">
        <v>936.54</v>
      </c>
      <c r="E6" s="98">
        <v>936.54</v>
      </c>
      <c r="F6" s="98">
        <v>936.54</v>
      </c>
      <c r="G6" s="98">
        <v>936.54</v>
      </c>
      <c r="H6" s="98">
        <v>936.54</v>
      </c>
      <c r="I6" s="98">
        <v>936.54</v>
      </c>
      <c r="J6" s="98">
        <v>936.54</v>
      </c>
      <c r="K6" s="98">
        <v>936.54</v>
      </c>
      <c r="L6" s="98">
        <v>936.54</v>
      </c>
      <c r="M6" s="98">
        <v>936.54</v>
      </c>
      <c r="N6" s="98">
        <v>936.54</v>
      </c>
      <c r="O6" s="98">
        <v>936.54</v>
      </c>
      <c r="P6" s="98">
        <v>936.54</v>
      </c>
      <c r="Q6" s="98">
        <v>936.54</v>
      </c>
      <c r="R6" s="98">
        <v>936.54</v>
      </c>
      <c r="S6" s="98">
        <v>936.54</v>
      </c>
      <c r="T6" s="98">
        <v>936.54</v>
      </c>
      <c r="U6" s="98">
        <v>936.54</v>
      </c>
      <c r="V6" s="98">
        <v>936.54</v>
      </c>
      <c r="W6" s="98">
        <v>936.54</v>
      </c>
      <c r="X6" s="98">
        <v>936.54</v>
      </c>
      <c r="Y6" s="98">
        <v>936.54</v>
      </c>
      <c r="Z6" s="98">
        <v>936.54</v>
      </c>
      <c r="AA6" s="98">
        <v>936.54</v>
      </c>
      <c r="AB6" s="98">
        <v>936.54</v>
      </c>
      <c r="AC6" s="98">
        <v>936.54</v>
      </c>
      <c r="AD6" s="98">
        <v>936.54</v>
      </c>
      <c r="AE6" s="98">
        <v>936.54</v>
      </c>
      <c r="AF6" s="98">
        <v>936.54</v>
      </c>
      <c r="AG6" s="98">
        <v>936.54</v>
      </c>
      <c r="AH6" s="98">
        <v>936.54</v>
      </c>
      <c r="AI6" s="98">
        <v>936.54</v>
      </c>
      <c r="AJ6" s="98">
        <v>936.54</v>
      </c>
      <c r="AK6" s="98">
        <v>936.54</v>
      </c>
      <c r="AL6" s="98">
        <v>936.54</v>
      </c>
      <c r="AM6" s="98">
        <v>936.54</v>
      </c>
      <c r="AN6" s="98">
        <v>936.54</v>
      </c>
      <c r="AO6" s="98">
        <v>936.54</v>
      </c>
      <c r="AP6" s="98">
        <v>936.54</v>
      </c>
      <c r="AQ6" s="98">
        <v>936.54</v>
      </c>
      <c r="AR6" s="98">
        <v>936.54</v>
      </c>
      <c r="AS6" s="98">
        <v>936.54</v>
      </c>
      <c r="AT6" s="98">
        <v>936.54</v>
      </c>
      <c r="AU6" s="98">
        <v>936.54</v>
      </c>
      <c r="AV6" s="98">
        <v>936.54</v>
      </c>
      <c r="AW6" s="98">
        <v>936.54</v>
      </c>
      <c r="AX6" s="98">
        <v>936.54</v>
      </c>
      <c r="AY6" s="98">
        <v>936.54</v>
      </c>
      <c r="AZ6" s="98">
        <v>936.54</v>
      </c>
      <c r="BA6" s="98">
        <v>936.54</v>
      </c>
      <c r="BB6" s="98">
        <v>936.54</v>
      </c>
      <c r="BC6" s="98">
        <v>936.54</v>
      </c>
      <c r="BD6" s="98">
        <v>936.54</v>
      </c>
      <c r="BE6" s="98">
        <v>936.54</v>
      </c>
      <c r="BF6" s="98">
        <v>936.54</v>
      </c>
      <c r="BG6" s="98">
        <v>936.54</v>
      </c>
      <c r="BH6" s="98">
        <v>936.54</v>
      </c>
      <c r="BI6" s="98">
        <v>936.54</v>
      </c>
      <c r="BJ6" s="98">
        <v>936.54</v>
      </c>
      <c r="BK6" s="98">
        <v>936.54</v>
      </c>
      <c r="BL6" s="98">
        <v>936.54</v>
      </c>
      <c r="BM6" s="98">
        <v>936.54</v>
      </c>
      <c r="BN6" s="98">
        <v>936.54</v>
      </c>
      <c r="BO6" s="98">
        <v>936.54</v>
      </c>
      <c r="BP6" s="98">
        <v>936.54</v>
      </c>
      <c r="BQ6" s="98">
        <v>936.54</v>
      </c>
      <c r="BR6" s="98">
        <v>936.54</v>
      </c>
      <c r="BS6" s="98">
        <v>936.54</v>
      </c>
      <c r="BT6" s="98">
        <v>936.54</v>
      </c>
      <c r="BU6" s="98">
        <v>936.54</v>
      </c>
      <c r="BV6" s="98">
        <v>936.54</v>
      </c>
      <c r="BW6" s="98">
        <v>936.54</v>
      </c>
      <c r="BX6" s="98">
        <v>936.54</v>
      </c>
      <c r="BY6" s="98">
        <v>936.54</v>
      </c>
      <c r="BZ6" s="98">
        <v>936.54</v>
      </c>
      <c r="CA6" s="98">
        <v>936.54</v>
      </c>
      <c r="CB6" s="98">
        <v>936.54</v>
      </c>
      <c r="CC6" s="98">
        <v>936.54</v>
      </c>
      <c r="CD6" s="98">
        <v>936.54</v>
      </c>
      <c r="CE6" s="98">
        <v>936.54</v>
      </c>
      <c r="CF6" s="98">
        <v>936.54</v>
      </c>
      <c r="CG6" s="98">
        <v>936.54</v>
      </c>
      <c r="CH6" s="98">
        <v>936.54</v>
      </c>
      <c r="CI6" s="98">
        <v>936.54</v>
      </c>
      <c r="CJ6" s="98">
        <v>936.54</v>
      </c>
      <c r="CK6" s="98">
        <v>936.54</v>
      </c>
      <c r="CL6" s="98">
        <v>936.54</v>
      </c>
      <c r="CM6" s="98">
        <v>936.54</v>
      </c>
      <c r="CN6" s="98">
        <v>936.54</v>
      </c>
      <c r="CO6" s="98">
        <v>936.54</v>
      </c>
      <c r="CP6" s="98">
        <v>936.54</v>
      </c>
      <c r="CQ6" s="98">
        <v>936.54</v>
      </c>
      <c r="CR6" s="98">
        <v>936.54</v>
      </c>
      <c r="CS6" s="98">
        <v>936.54</v>
      </c>
      <c r="CT6" s="98">
        <v>936.54</v>
      </c>
      <c r="CU6" s="98">
        <v>936.54</v>
      </c>
      <c r="CV6" s="98">
        <v>936.54</v>
      </c>
      <c r="CW6" s="98">
        <v>936.54</v>
      </c>
      <c r="CX6" s="98">
        <v>936.54</v>
      </c>
      <c r="CY6" s="98">
        <v>936.54</v>
      </c>
      <c r="CZ6" s="98">
        <v>936.54</v>
      </c>
      <c r="DA6" s="98">
        <v>936.54</v>
      </c>
      <c r="DB6" s="98">
        <v>936.54</v>
      </c>
      <c r="DC6" s="98">
        <v>936.54</v>
      </c>
      <c r="DD6" s="98">
        <v>936.54</v>
      </c>
      <c r="DE6" s="98">
        <v>936.54</v>
      </c>
      <c r="DF6" s="98">
        <v>936.54</v>
      </c>
      <c r="DG6" s="98">
        <v>936.54</v>
      </c>
      <c r="DH6" s="98">
        <v>936.54</v>
      </c>
      <c r="DI6" s="98">
        <v>936.54</v>
      </c>
      <c r="DJ6" s="98">
        <v>936.54</v>
      </c>
      <c r="DK6" s="98">
        <v>936.54</v>
      </c>
      <c r="DL6" s="98">
        <v>936.54</v>
      </c>
      <c r="DM6" s="98">
        <v>936.54</v>
      </c>
      <c r="DN6" s="98">
        <v>936.54</v>
      </c>
      <c r="DO6" s="98">
        <v>936.54</v>
      </c>
      <c r="DP6" s="98">
        <v>936.54</v>
      </c>
      <c r="DQ6" s="98">
        <v>936.54</v>
      </c>
      <c r="DR6" s="98">
        <v>936.54</v>
      </c>
      <c r="DS6" s="98">
        <v>936.54</v>
      </c>
      <c r="DT6" s="98">
        <v>936.54</v>
      </c>
      <c r="DU6" s="98">
        <v>936.54</v>
      </c>
      <c r="DV6" s="98">
        <v>936.54</v>
      </c>
      <c r="DW6" s="98">
        <v>936.54</v>
      </c>
      <c r="DX6" s="98">
        <v>936.54</v>
      </c>
      <c r="DY6" s="98">
        <v>936.54</v>
      </c>
      <c r="DZ6" s="98">
        <v>936.54</v>
      </c>
      <c r="EA6" s="98">
        <v>936.54</v>
      </c>
      <c r="EB6" s="98">
        <v>936.54</v>
      </c>
      <c r="EC6" s="98">
        <v>936.54</v>
      </c>
      <c r="ED6" s="98">
        <v>936.54</v>
      </c>
      <c r="EE6" s="98">
        <v>936.54</v>
      </c>
    </row>
    <row r="7" spans="2:135" ht="21" customHeight="1" x14ac:dyDescent="0.2">
      <c r="B7" s="47">
        <v>2912.71</v>
      </c>
      <c r="C7" s="22" t="s">
        <v>105</v>
      </c>
      <c r="D7" s="99">
        <v>2904.6</v>
      </c>
      <c r="E7" s="99">
        <v>2904.6</v>
      </c>
      <c r="F7" s="99">
        <v>2904.6</v>
      </c>
      <c r="G7" s="99">
        <v>2904.6</v>
      </c>
      <c r="H7" s="99">
        <v>2904.6</v>
      </c>
      <c r="I7" s="99">
        <v>2904.6</v>
      </c>
      <c r="J7" s="99">
        <v>2904.6</v>
      </c>
      <c r="K7" s="99">
        <v>2904.6</v>
      </c>
      <c r="L7" s="99">
        <v>2904.6</v>
      </c>
      <c r="M7" s="99">
        <v>2904.6</v>
      </c>
      <c r="N7" s="99">
        <v>2904.6</v>
      </c>
      <c r="O7" s="99">
        <v>2904.6</v>
      </c>
      <c r="P7" s="99">
        <v>2904.6</v>
      </c>
      <c r="Q7" s="99">
        <v>2904.6</v>
      </c>
      <c r="R7" s="99">
        <v>2904.6</v>
      </c>
      <c r="S7" s="99">
        <v>2904.6</v>
      </c>
      <c r="T7" s="99">
        <v>2904.6</v>
      </c>
      <c r="U7" s="99">
        <v>2904.6</v>
      </c>
      <c r="V7" s="99">
        <v>2904.6</v>
      </c>
      <c r="W7" s="99">
        <v>2904.6</v>
      </c>
      <c r="X7" s="99">
        <v>2904.6</v>
      </c>
      <c r="Y7" s="99">
        <v>2904.6</v>
      </c>
      <c r="Z7" s="99">
        <v>2904.6</v>
      </c>
      <c r="AA7" s="99">
        <v>2904.6</v>
      </c>
      <c r="AB7" s="99">
        <v>2904.6</v>
      </c>
      <c r="AC7" s="99">
        <v>2904.6</v>
      </c>
      <c r="AD7" s="99">
        <v>2904.6</v>
      </c>
      <c r="AE7" s="99">
        <v>2904.6</v>
      </c>
      <c r="AF7" s="99">
        <v>2904.6</v>
      </c>
      <c r="AG7" s="99">
        <v>2904.6</v>
      </c>
      <c r="AH7" s="99">
        <v>2904.6</v>
      </c>
      <c r="AI7" s="99">
        <v>2904.6</v>
      </c>
      <c r="AJ7" s="99">
        <v>2904.6</v>
      </c>
      <c r="AK7" s="99">
        <v>2904.6</v>
      </c>
      <c r="AL7" s="99">
        <v>2904.6</v>
      </c>
      <c r="AM7" s="99">
        <v>2904.6</v>
      </c>
      <c r="AN7" s="99">
        <v>2904.6</v>
      </c>
      <c r="AO7" s="99">
        <v>2904.6</v>
      </c>
      <c r="AP7" s="99">
        <v>2904.6</v>
      </c>
      <c r="AQ7" s="99">
        <v>2904.6</v>
      </c>
      <c r="AR7" s="99">
        <v>2904.6</v>
      </c>
      <c r="AS7" s="99">
        <v>2904.6</v>
      </c>
      <c r="AT7" s="99">
        <v>2904.6</v>
      </c>
      <c r="AU7" s="99">
        <v>2904.6</v>
      </c>
      <c r="AV7" s="99">
        <v>2904.6</v>
      </c>
      <c r="AW7" s="99">
        <v>2904.6</v>
      </c>
      <c r="AX7" s="99">
        <v>2904.6</v>
      </c>
      <c r="AY7" s="99">
        <v>2904.6</v>
      </c>
      <c r="AZ7" s="99">
        <v>2904.6</v>
      </c>
      <c r="BA7" s="99">
        <v>2904.6</v>
      </c>
      <c r="BB7" s="99">
        <v>2904.6</v>
      </c>
      <c r="BC7" s="99">
        <v>2904.6</v>
      </c>
      <c r="BD7" s="99">
        <v>2904.6</v>
      </c>
      <c r="BE7" s="99">
        <v>2904.6</v>
      </c>
      <c r="BF7" s="99">
        <v>2904.6</v>
      </c>
      <c r="BG7" s="99">
        <v>2904.6</v>
      </c>
      <c r="BH7" s="99">
        <v>2904.6</v>
      </c>
      <c r="BI7" s="99">
        <v>2904.6</v>
      </c>
      <c r="BJ7" s="99">
        <v>2904.6</v>
      </c>
      <c r="BK7" s="99">
        <v>2904.6</v>
      </c>
      <c r="BL7" s="99">
        <v>2904.6</v>
      </c>
      <c r="BM7" s="99">
        <v>2904.6</v>
      </c>
      <c r="BN7" s="99">
        <v>2904.6</v>
      </c>
      <c r="BO7" s="99">
        <v>2904.6</v>
      </c>
      <c r="BP7" s="99">
        <v>2904.6</v>
      </c>
      <c r="BQ7" s="99">
        <v>2904.6</v>
      </c>
      <c r="BR7" s="99">
        <v>2904.6</v>
      </c>
      <c r="BS7" s="99">
        <v>2904.6</v>
      </c>
      <c r="BT7" s="99">
        <v>2904.6</v>
      </c>
      <c r="BU7" s="99">
        <v>2904.6</v>
      </c>
      <c r="BV7" s="99">
        <v>2904.6</v>
      </c>
      <c r="BW7" s="99">
        <v>2904.6</v>
      </c>
      <c r="BX7" s="99">
        <v>2904.6</v>
      </c>
      <c r="BY7" s="99">
        <v>2904.6</v>
      </c>
      <c r="BZ7" s="99">
        <v>2904.6</v>
      </c>
      <c r="CA7" s="99">
        <v>2904.6</v>
      </c>
      <c r="CB7" s="99">
        <v>2904.6</v>
      </c>
      <c r="CC7" s="99">
        <v>2904.6</v>
      </c>
      <c r="CD7" s="99">
        <v>2904.6</v>
      </c>
      <c r="CE7" s="99">
        <v>2904.6</v>
      </c>
      <c r="CF7" s="99">
        <v>2904.6</v>
      </c>
      <c r="CG7" s="99">
        <v>2904.6</v>
      </c>
      <c r="CH7" s="99">
        <v>2904.6</v>
      </c>
      <c r="CI7" s="99">
        <v>2904.6</v>
      </c>
      <c r="CJ7" s="99">
        <v>2904.6</v>
      </c>
      <c r="CK7" s="99">
        <v>2904.6</v>
      </c>
      <c r="CL7" s="99">
        <v>2904.6</v>
      </c>
      <c r="CM7" s="99">
        <v>2904.6</v>
      </c>
      <c r="CN7" s="99">
        <v>2904.6</v>
      </c>
      <c r="CO7" s="99">
        <v>2904.6</v>
      </c>
      <c r="CP7" s="99">
        <v>2904.6</v>
      </c>
      <c r="CQ7" s="99">
        <v>2904.6</v>
      </c>
      <c r="CR7" s="99">
        <v>2904.6</v>
      </c>
      <c r="CS7" s="99">
        <v>2904.6</v>
      </c>
      <c r="CT7" s="99">
        <v>2904.6</v>
      </c>
      <c r="CU7" s="99">
        <v>2904.6</v>
      </c>
      <c r="CV7" s="99">
        <v>2904.6</v>
      </c>
      <c r="CW7" s="99">
        <v>2904.6</v>
      </c>
      <c r="CX7" s="99">
        <v>2904.6</v>
      </c>
      <c r="CY7" s="99">
        <v>2904.6</v>
      </c>
      <c r="CZ7" s="99">
        <v>2904.6</v>
      </c>
      <c r="DA7" s="99">
        <v>2904.6</v>
      </c>
      <c r="DB7" s="99">
        <v>2904.6</v>
      </c>
      <c r="DC7" s="99">
        <v>2904.6</v>
      </c>
      <c r="DD7" s="99">
        <v>2904.6</v>
      </c>
      <c r="DE7" s="99">
        <v>2904.6</v>
      </c>
      <c r="DF7" s="99">
        <v>2904.6</v>
      </c>
      <c r="DG7" s="99">
        <v>2904.6</v>
      </c>
      <c r="DH7" s="99">
        <v>2904.6</v>
      </c>
      <c r="DI7" s="99">
        <v>2904.6</v>
      </c>
      <c r="DJ7" s="99">
        <v>2904.6</v>
      </c>
      <c r="DK7" s="99">
        <v>2904.6</v>
      </c>
      <c r="DL7" s="99">
        <v>2904.6</v>
      </c>
      <c r="DM7" s="99">
        <v>2904.6</v>
      </c>
      <c r="DN7" s="99">
        <v>2904.6</v>
      </c>
      <c r="DO7" s="99">
        <v>2904.6</v>
      </c>
      <c r="DP7" s="99">
        <v>2904.6</v>
      </c>
      <c r="DQ7" s="99">
        <v>2904.6</v>
      </c>
      <c r="DR7" s="99">
        <v>2904.6</v>
      </c>
      <c r="DS7" s="99">
        <v>2904.6</v>
      </c>
      <c r="DT7" s="99">
        <v>2904.6</v>
      </c>
      <c r="DU7" s="99">
        <v>2904.6</v>
      </c>
      <c r="DV7" s="99">
        <v>2904.6</v>
      </c>
      <c r="DW7" s="99">
        <v>2904.6</v>
      </c>
      <c r="DX7" s="99">
        <v>2904.6</v>
      </c>
      <c r="DY7" s="99">
        <v>2904.6</v>
      </c>
      <c r="DZ7" s="99">
        <v>2904.6</v>
      </c>
      <c r="EA7" s="99">
        <v>2904.6</v>
      </c>
      <c r="EB7" s="99">
        <v>2904.6</v>
      </c>
      <c r="EC7" s="99">
        <v>2904.6</v>
      </c>
      <c r="ED7" s="99">
        <v>2904.6</v>
      </c>
      <c r="EE7" s="99">
        <v>2904.6</v>
      </c>
    </row>
    <row r="8" spans="2:135" s="23" customFormat="1" ht="21" customHeight="1" x14ac:dyDescent="0.2">
      <c r="B8" s="47">
        <v>1215.01</v>
      </c>
      <c r="C8" s="22" t="s">
        <v>106</v>
      </c>
      <c r="D8" s="99">
        <v>1215.01</v>
      </c>
      <c r="E8" s="99">
        <v>1215.01</v>
      </c>
      <c r="F8" s="99">
        <v>1215.01</v>
      </c>
      <c r="G8" s="99">
        <v>1215.01</v>
      </c>
      <c r="H8" s="99">
        <v>1215.01</v>
      </c>
      <c r="I8" s="99">
        <v>1215.01</v>
      </c>
      <c r="J8" s="99">
        <v>1215.01</v>
      </c>
      <c r="K8" s="99">
        <v>1215.01</v>
      </c>
      <c r="L8" s="99">
        <v>1215.01</v>
      </c>
      <c r="M8" s="99">
        <v>1215.01</v>
      </c>
      <c r="N8" s="99">
        <v>1215.01</v>
      </c>
      <c r="O8" s="99">
        <v>1215.01</v>
      </c>
      <c r="P8" s="99">
        <v>1215.01</v>
      </c>
      <c r="Q8" s="99">
        <v>1215.01</v>
      </c>
      <c r="R8" s="99">
        <v>1215.01</v>
      </c>
      <c r="S8" s="99">
        <v>1215.01</v>
      </c>
      <c r="T8" s="99">
        <v>1215.01</v>
      </c>
      <c r="U8" s="99">
        <v>1215.01</v>
      </c>
      <c r="V8" s="99">
        <v>1215.01</v>
      </c>
      <c r="W8" s="99">
        <v>1215.01</v>
      </c>
      <c r="X8" s="99">
        <v>1215.01</v>
      </c>
      <c r="Y8" s="99">
        <v>1215.01</v>
      </c>
      <c r="Z8" s="99">
        <v>1215.01</v>
      </c>
      <c r="AA8" s="99">
        <v>1215.01</v>
      </c>
      <c r="AB8" s="99">
        <v>1215.01</v>
      </c>
      <c r="AC8" s="99">
        <v>1215.01</v>
      </c>
      <c r="AD8" s="99">
        <v>1215.01</v>
      </c>
      <c r="AE8" s="99">
        <v>1215.01</v>
      </c>
      <c r="AF8" s="99">
        <v>1215.01</v>
      </c>
      <c r="AG8" s="99">
        <v>1215.01</v>
      </c>
      <c r="AH8" s="99">
        <v>1215.01</v>
      </c>
      <c r="AI8" s="99">
        <v>1215.01</v>
      </c>
      <c r="AJ8" s="99">
        <v>1215.01</v>
      </c>
      <c r="AK8" s="99">
        <v>1215.01</v>
      </c>
      <c r="AL8" s="99">
        <v>1215.01</v>
      </c>
      <c r="AM8" s="99">
        <v>1215.01</v>
      </c>
      <c r="AN8" s="99">
        <v>1215.01</v>
      </c>
      <c r="AO8" s="99">
        <v>1215.01</v>
      </c>
      <c r="AP8" s="99">
        <v>1215.01</v>
      </c>
      <c r="AQ8" s="99">
        <v>1215.01</v>
      </c>
      <c r="AR8" s="99">
        <v>1215.01</v>
      </c>
      <c r="AS8" s="99">
        <v>1215.01</v>
      </c>
      <c r="AT8" s="99">
        <v>1215.01</v>
      </c>
      <c r="AU8" s="99">
        <v>1215.01</v>
      </c>
      <c r="AV8" s="99">
        <v>1215.01</v>
      </c>
      <c r="AW8" s="99">
        <v>1215.01</v>
      </c>
      <c r="AX8" s="99">
        <v>1215.01</v>
      </c>
      <c r="AY8" s="99">
        <v>1215.01</v>
      </c>
      <c r="AZ8" s="99">
        <v>1215.01</v>
      </c>
      <c r="BA8" s="99">
        <v>1215.01</v>
      </c>
      <c r="BB8" s="99">
        <v>1215.01</v>
      </c>
      <c r="BC8" s="99">
        <v>1215.01</v>
      </c>
      <c r="BD8" s="99">
        <v>1215.01</v>
      </c>
      <c r="BE8" s="99">
        <v>1215.01</v>
      </c>
      <c r="BF8" s="99">
        <v>1215.01</v>
      </c>
      <c r="BG8" s="99">
        <v>1215.01</v>
      </c>
      <c r="BH8" s="99">
        <v>1215.01</v>
      </c>
      <c r="BI8" s="99">
        <v>1215.01</v>
      </c>
      <c r="BJ8" s="99">
        <v>1215.01</v>
      </c>
      <c r="BK8" s="99">
        <v>1215.01</v>
      </c>
      <c r="BL8" s="99">
        <v>1215.01</v>
      </c>
      <c r="BM8" s="99">
        <v>1215.01</v>
      </c>
      <c r="BN8" s="99">
        <v>1215.01</v>
      </c>
      <c r="BO8" s="99">
        <v>1215.01</v>
      </c>
      <c r="BP8" s="99">
        <v>1215.01</v>
      </c>
      <c r="BQ8" s="99">
        <v>1215.01</v>
      </c>
      <c r="BR8" s="99">
        <v>1215.01</v>
      </c>
      <c r="BS8" s="99">
        <v>1215.01</v>
      </c>
      <c r="BT8" s="99">
        <v>1215.01</v>
      </c>
      <c r="BU8" s="99">
        <v>1215.01</v>
      </c>
      <c r="BV8" s="99">
        <v>1215.01</v>
      </c>
      <c r="BW8" s="99">
        <v>1215.01</v>
      </c>
      <c r="BX8" s="99">
        <v>1215.01</v>
      </c>
      <c r="BY8" s="99">
        <v>1215.01</v>
      </c>
      <c r="BZ8" s="99">
        <v>1215.01</v>
      </c>
      <c r="CA8" s="99">
        <v>1215.01</v>
      </c>
      <c r="CB8" s="99">
        <v>1215.01</v>
      </c>
      <c r="CC8" s="99">
        <v>1215.01</v>
      </c>
      <c r="CD8" s="99">
        <v>1215.01</v>
      </c>
      <c r="CE8" s="99">
        <v>1215.01</v>
      </c>
      <c r="CF8" s="99">
        <v>1215.01</v>
      </c>
      <c r="CG8" s="99">
        <v>1215.01</v>
      </c>
      <c r="CH8" s="99">
        <v>1215.01</v>
      </c>
      <c r="CI8" s="99">
        <v>1215.01</v>
      </c>
      <c r="CJ8" s="99">
        <v>1215.01</v>
      </c>
      <c r="CK8" s="99">
        <v>1215.01</v>
      </c>
      <c r="CL8" s="99">
        <v>1215.01</v>
      </c>
      <c r="CM8" s="99">
        <v>1215.01</v>
      </c>
      <c r="CN8" s="99">
        <v>1215.01</v>
      </c>
      <c r="CO8" s="99">
        <v>1215.01</v>
      </c>
      <c r="CP8" s="99">
        <v>1215.01</v>
      </c>
      <c r="CQ8" s="99">
        <v>1215.01</v>
      </c>
      <c r="CR8" s="99">
        <v>1215.01</v>
      </c>
      <c r="CS8" s="99">
        <v>1215.01</v>
      </c>
      <c r="CT8" s="99">
        <v>1215.01</v>
      </c>
      <c r="CU8" s="99">
        <v>1215.01</v>
      </c>
      <c r="CV8" s="99">
        <v>1215.01</v>
      </c>
      <c r="CW8" s="99">
        <v>1215.01</v>
      </c>
      <c r="CX8" s="99">
        <v>1215.01</v>
      </c>
      <c r="CY8" s="99">
        <v>1215.01</v>
      </c>
      <c r="CZ8" s="99">
        <v>1215.01</v>
      </c>
      <c r="DA8" s="99">
        <v>1215.01</v>
      </c>
      <c r="DB8" s="99">
        <v>1215.01</v>
      </c>
      <c r="DC8" s="99">
        <v>1215.01</v>
      </c>
      <c r="DD8" s="99">
        <v>1215.01</v>
      </c>
      <c r="DE8" s="99">
        <v>1215.01</v>
      </c>
      <c r="DF8" s="99">
        <v>1215.01</v>
      </c>
      <c r="DG8" s="99">
        <v>1215.01</v>
      </c>
      <c r="DH8" s="99">
        <v>1215.01</v>
      </c>
      <c r="DI8" s="99">
        <v>1215.01</v>
      </c>
      <c r="DJ8" s="99">
        <v>1215.01</v>
      </c>
      <c r="DK8" s="99">
        <v>1215.01</v>
      </c>
      <c r="DL8" s="99">
        <v>1215.01</v>
      </c>
      <c r="DM8" s="99">
        <v>1215.01</v>
      </c>
      <c r="DN8" s="99">
        <v>1215.01</v>
      </c>
      <c r="DO8" s="99">
        <v>1215.01</v>
      </c>
      <c r="DP8" s="99">
        <v>1215.01</v>
      </c>
      <c r="DQ8" s="99">
        <v>1215.01</v>
      </c>
      <c r="DR8" s="99">
        <v>1215.01</v>
      </c>
      <c r="DS8" s="99">
        <v>1215.01</v>
      </c>
      <c r="DT8" s="99">
        <v>1215.01</v>
      </c>
      <c r="DU8" s="99">
        <v>1215.01</v>
      </c>
      <c r="DV8" s="99">
        <v>1215.01</v>
      </c>
      <c r="DW8" s="99">
        <v>1215.01</v>
      </c>
      <c r="DX8" s="99">
        <v>1215.01</v>
      </c>
      <c r="DY8" s="99">
        <v>1215.01</v>
      </c>
      <c r="DZ8" s="99">
        <v>1215.01</v>
      </c>
      <c r="EA8" s="99">
        <v>1215.01</v>
      </c>
      <c r="EB8" s="99">
        <v>1215.01</v>
      </c>
      <c r="EC8" s="99">
        <v>1215.01</v>
      </c>
      <c r="ED8" s="99">
        <v>1215.01</v>
      </c>
      <c r="EE8" s="99">
        <v>1215.01</v>
      </c>
    </row>
    <row r="9" spans="2:135" ht="21" customHeight="1" x14ac:dyDescent="0.2">
      <c r="B9" s="109">
        <f>SUM(B5:B8)</f>
        <v>65606.3</v>
      </c>
      <c r="C9" s="22" t="s">
        <v>67</v>
      </c>
      <c r="D9" s="104">
        <f>SUM(D5:D8)</f>
        <v>49984.965342773256</v>
      </c>
      <c r="E9" s="104">
        <f t="shared" ref="E9:BP9" si="0">SUM(E5:E8)</f>
        <v>49984.965342773256</v>
      </c>
      <c r="F9" s="104">
        <f t="shared" si="0"/>
        <v>49733.120832326014</v>
      </c>
      <c r="G9" s="104">
        <f t="shared" si="0"/>
        <v>49733.120832326014</v>
      </c>
      <c r="H9" s="104">
        <f t="shared" si="0"/>
        <v>49870.790832326013</v>
      </c>
      <c r="I9" s="104">
        <f t="shared" si="0"/>
        <v>49870.790832326013</v>
      </c>
      <c r="J9" s="104">
        <f t="shared" si="0"/>
        <v>54724.128276055315</v>
      </c>
      <c r="K9" s="104">
        <f t="shared" si="0"/>
        <v>56284.938276055313</v>
      </c>
      <c r="L9" s="104">
        <f t="shared" si="0"/>
        <v>56284.938276055313</v>
      </c>
      <c r="M9" s="104">
        <f t="shared" si="0"/>
        <v>57514.99827605531</v>
      </c>
      <c r="N9" s="104">
        <f t="shared" si="0"/>
        <v>57087.628276055315</v>
      </c>
      <c r="O9" s="104">
        <f t="shared" si="0"/>
        <v>57576.278276055316</v>
      </c>
      <c r="P9" s="104">
        <f t="shared" si="0"/>
        <v>58497.208276055309</v>
      </c>
      <c r="Q9" s="104">
        <f t="shared" si="0"/>
        <v>58459.798276055306</v>
      </c>
      <c r="R9" s="104">
        <f t="shared" si="0"/>
        <v>58459.798276055306</v>
      </c>
      <c r="S9" s="104">
        <f t="shared" si="0"/>
        <v>58729.528276055309</v>
      </c>
      <c r="T9" s="104">
        <f t="shared" si="0"/>
        <v>58729.528276055309</v>
      </c>
      <c r="U9" s="104">
        <f t="shared" si="0"/>
        <v>58729.528276055309</v>
      </c>
      <c r="V9" s="104">
        <f t="shared" si="0"/>
        <v>59001.608276055311</v>
      </c>
      <c r="W9" s="104">
        <f t="shared" si="0"/>
        <v>59001.608276055311</v>
      </c>
      <c r="X9" s="104">
        <f t="shared" si="0"/>
        <v>59001.608276055311</v>
      </c>
      <c r="Y9" s="104">
        <f t="shared" si="0"/>
        <v>59001.608276055311</v>
      </c>
      <c r="Z9" s="104">
        <f t="shared" si="0"/>
        <v>59001.608276055311</v>
      </c>
      <c r="AA9" s="104">
        <f t="shared" si="0"/>
        <v>59001.608276055311</v>
      </c>
      <c r="AB9" s="104">
        <f t="shared" si="0"/>
        <v>59001.608276055311</v>
      </c>
      <c r="AC9" s="104">
        <f t="shared" si="0"/>
        <v>59001.608276055311</v>
      </c>
      <c r="AD9" s="104">
        <f t="shared" si="0"/>
        <v>59001.608276055311</v>
      </c>
      <c r="AE9" s="104">
        <f t="shared" si="0"/>
        <v>59001.608276055311</v>
      </c>
      <c r="AF9" s="104">
        <f t="shared" si="0"/>
        <v>58694.688276055313</v>
      </c>
      <c r="AG9" s="104">
        <f t="shared" si="0"/>
        <v>58694.688276055313</v>
      </c>
      <c r="AH9" s="104">
        <f t="shared" si="0"/>
        <v>58694.688276055313</v>
      </c>
      <c r="AI9" s="104">
        <f t="shared" si="0"/>
        <v>58694.688276055313</v>
      </c>
      <c r="AJ9" s="104">
        <f t="shared" si="0"/>
        <v>58694.688276055313</v>
      </c>
      <c r="AK9" s="104">
        <f t="shared" si="0"/>
        <v>58694.688276055313</v>
      </c>
      <c r="AL9" s="104">
        <f t="shared" si="0"/>
        <v>58696.688276055313</v>
      </c>
      <c r="AM9" s="104">
        <f t="shared" si="0"/>
        <v>58696.688276055313</v>
      </c>
      <c r="AN9" s="104">
        <f t="shared" si="0"/>
        <v>58696.688276055313</v>
      </c>
      <c r="AO9" s="104">
        <f t="shared" si="0"/>
        <v>58696.688276055313</v>
      </c>
      <c r="AP9" s="104">
        <f t="shared" si="0"/>
        <v>58696.688276055313</v>
      </c>
      <c r="AQ9" s="104">
        <f t="shared" si="0"/>
        <v>58696.688276055313</v>
      </c>
      <c r="AR9" s="104">
        <f t="shared" si="0"/>
        <v>58559.018276055307</v>
      </c>
      <c r="AS9" s="104">
        <f t="shared" si="0"/>
        <v>58559.018276055307</v>
      </c>
      <c r="AT9" s="104">
        <f t="shared" si="0"/>
        <v>58423.038276055304</v>
      </c>
      <c r="AU9" s="104">
        <f t="shared" si="0"/>
        <v>58423.038276055304</v>
      </c>
      <c r="AV9" s="104">
        <f t="shared" si="0"/>
        <v>58423.038276055304</v>
      </c>
      <c r="AW9" s="104">
        <f t="shared" si="0"/>
        <v>58423.038276055304</v>
      </c>
      <c r="AX9" s="104">
        <f t="shared" si="0"/>
        <v>58423.038276055304</v>
      </c>
      <c r="AY9" s="104">
        <f t="shared" si="0"/>
        <v>58423.038276055304</v>
      </c>
      <c r="AZ9" s="104">
        <f t="shared" si="0"/>
        <v>58848.049108381325</v>
      </c>
      <c r="BA9" s="104">
        <f t="shared" si="0"/>
        <v>58848.049108381325</v>
      </c>
      <c r="BB9" s="104">
        <f t="shared" si="0"/>
        <v>58848.049108381325</v>
      </c>
      <c r="BC9" s="104">
        <f t="shared" si="0"/>
        <v>58848.049108381325</v>
      </c>
      <c r="BD9" s="104">
        <f t="shared" si="0"/>
        <v>58848.049108381325</v>
      </c>
      <c r="BE9" s="104">
        <f t="shared" si="0"/>
        <v>58848.049108381325</v>
      </c>
      <c r="BF9" s="104">
        <f t="shared" si="0"/>
        <v>58848.049108381325</v>
      </c>
      <c r="BG9" s="104">
        <f t="shared" si="0"/>
        <v>58848.049108381325</v>
      </c>
      <c r="BH9" s="104">
        <f t="shared" si="0"/>
        <v>55752.599108381328</v>
      </c>
      <c r="BI9" s="104">
        <f t="shared" si="0"/>
        <v>55752.599108381328</v>
      </c>
      <c r="BJ9" s="104">
        <f t="shared" si="0"/>
        <v>55752.599108381328</v>
      </c>
      <c r="BK9" s="104">
        <f t="shared" si="0"/>
        <v>55752.599108381328</v>
      </c>
      <c r="BL9" s="104">
        <f t="shared" si="0"/>
        <v>57962.119313511394</v>
      </c>
      <c r="BM9" s="104">
        <f t="shared" si="0"/>
        <v>57962.119313511394</v>
      </c>
      <c r="BN9" s="104">
        <f t="shared" si="0"/>
        <v>57962.119313511394</v>
      </c>
      <c r="BO9" s="104">
        <f t="shared" si="0"/>
        <v>57962.119313511394</v>
      </c>
      <c r="BP9" s="104">
        <f t="shared" si="0"/>
        <v>57962.119313511394</v>
      </c>
      <c r="BQ9" s="104">
        <f t="shared" ref="BQ9:EB9" si="1">SUM(BQ5:BQ8)</f>
        <v>57962.119313511394</v>
      </c>
      <c r="BR9" s="104">
        <f t="shared" si="1"/>
        <v>57962.119313511394</v>
      </c>
      <c r="BS9" s="104">
        <f t="shared" si="1"/>
        <v>57962.119313511394</v>
      </c>
      <c r="BT9" s="104">
        <f t="shared" si="1"/>
        <v>57962.119313511394</v>
      </c>
      <c r="BU9" s="104">
        <f t="shared" si="1"/>
        <v>57962.119313511394</v>
      </c>
      <c r="BV9" s="104">
        <f t="shared" si="1"/>
        <v>57962.119313511394</v>
      </c>
      <c r="BW9" s="104">
        <f t="shared" si="1"/>
        <v>57962.119313511394</v>
      </c>
      <c r="BX9" s="104">
        <f t="shared" si="1"/>
        <v>58745.529313511397</v>
      </c>
      <c r="BY9" s="104">
        <f t="shared" si="1"/>
        <v>58745.529313511397</v>
      </c>
      <c r="BZ9" s="104">
        <f t="shared" si="1"/>
        <v>58745.529313511397</v>
      </c>
      <c r="CA9" s="104">
        <f t="shared" si="1"/>
        <v>58458.189313511401</v>
      </c>
      <c r="CB9" s="104">
        <f t="shared" si="1"/>
        <v>58733.519313511402</v>
      </c>
      <c r="CC9" s="104">
        <f t="shared" si="1"/>
        <v>58733.519313511402</v>
      </c>
      <c r="CD9" s="104">
        <f t="shared" si="1"/>
        <v>59005.599313511404</v>
      </c>
      <c r="CE9" s="104">
        <f t="shared" si="1"/>
        <v>58730.269313511402</v>
      </c>
      <c r="CF9" s="104">
        <f t="shared" si="1"/>
        <v>58730.269313511402</v>
      </c>
      <c r="CG9" s="104">
        <f t="shared" si="1"/>
        <v>58592.749313511405</v>
      </c>
      <c r="CH9" s="104">
        <f t="shared" si="1"/>
        <v>58592.749313511405</v>
      </c>
      <c r="CI9" s="104">
        <f t="shared" si="1"/>
        <v>58592.749313511405</v>
      </c>
      <c r="CJ9" s="104">
        <f t="shared" si="1"/>
        <v>57537.2593135114</v>
      </c>
      <c r="CK9" s="104">
        <f t="shared" si="1"/>
        <v>57537.2593135114</v>
      </c>
      <c r="CL9" s="104">
        <f t="shared" si="1"/>
        <v>57537.2593135114</v>
      </c>
      <c r="CM9" s="104">
        <f t="shared" si="1"/>
        <v>57537.2593135114</v>
      </c>
      <c r="CN9" s="104">
        <f t="shared" si="1"/>
        <v>57537.2593135114</v>
      </c>
      <c r="CO9" s="104">
        <f t="shared" si="1"/>
        <v>57537.2593135114</v>
      </c>
      <c r="CP9" s="104">
        <f t="shared" si="1"/>
        <v>59084.939313511401</v>
      </c>
      <c r="CQ9" s="104">
        <f t="shared" si="1"/>
        <v>59084.939313511401</v>
      </c>
      <c r="CR9" s="104">
        <f t="shared" si="1"/>
        <v>59084.939313511401</v>
      </c>
      <c r="CS9" s="104">
        <f t="shared" si="1"/>
        <v>59084.939313511401</v>
      </c>
      <c r="CT9" s="104">
        <f t="shared" si="1"/>
        <v>59084.939313511401</v>
      </c>
      <c r="CU9" s="104">
        <f t="shared" si="1"/>
        <v>59084.939313511401</v>
      </c>
      <c r="CV9" s="104">
        <f t="shared" si="1"/>
        <v>59084.939313511401</v>
      </c>
      <c r="CW9" s="104">
        <f t="shared" si="1"/>
        <v>59084.939313511401</v>
      </c>
      <c r="CX9" s="104">
        <f t="shared" si="1"/>
        <v>59084.939313511401</v>
      </c>
      <c r="CY9" s="104">
        <f t="shared" si="1"/>
        <v>59084.939313511401</v>
      </c>
      <c r="CZ9" s="104">
        <f t="shared" si="1"/>
        <v>59084.939313511401</v>
      </c>
      <c r="DA9" s="104">
        <f t="shared" si="1"/>
        <v>59084.939313511401</v>
      </c>
      <c r="DB9" s="104">
        <f t="shared" si="1"/>
        <v>59084.939313511401</v>
      </c>
      <c r="DC9" s="104">
        <f t="shared" si="1"/>
        <v>59084.939313511401</v>
      </c>
      <c r="DD9" s="104">
        <f t="shared" si="1"/>
        <v>59084.939313511401</v>
      </c>
      <c r="DE9" s="104">
        <f t="shared" si="1"/>
        <v>59084.939313511401</v>
      </c>
      <c r="DF9" s="104">
        <f t="shared" si="1"/>
        <v>59084.939313511401</v>
      </c>
      <c r="DG9" s="104">
        <f t="shared" si="1"/>
        <v>59084.939313511401</v>
      </c>
      <c r="DH9" s="104">
        <f t="shared" si="1"/>
        <v>59084.939313511401</v>
      </c>
      <c r="DI9" s="104">
        <f t="shared" si="1"/>
        <v>59084.939313511401</v>
      </c>
      <c r="DJ9" s="104">
        <f t="shared" si="1"/>
        <v>59084.939313511401</v>
      </c>
      <c r="DK9" s="104">
        <f t="shared" si="1"/>
        <v>59084.939313511401</v>
      </c>
      <c r="DL9" s="104">
        <f t="shared" si="1"/>
        <v>59084.939313511401</v>
      </c>
      <c r="DM9" s="104">
        <f t="shared" si="1"/>
        <v>59084.939313511401</v>
      </c>
      <c r="DN9" s="104">
        <f t="shared" si="1"/>
        <v>59084.939313511401</v>
      </c>
      <c r="DO9" s="104">
        <f t="shared" si="1"/>
        <v>59084.939313511401</v>
      </c>
      <c r="DP9" s="104">
        <f t="shared" si="1"/>
        <v>59084.939313511401</v>
      </c>
      <c r="DQ9" s="104">
        <f t="shared" si="1"/>
        <v>59084.939313511401</v>
      </c>
      <c r="DR9" s="104">
        <f t="shared" si="1"/>
        <v>59084.939313511401</v>
      </c>
      <c r="DS9" s="104">
        <f t="shared" si="1"/>
        <v>59084.939313511401</v>
      </c>
      <c r="DT9" s="104">
        <f t="shared" si="1"/>
        <v>59084.939313511401</v>
      </c>
      <c r="DU9" s="104">
        <f t="shared" si="1"/>
        <v>59084.939313511401</v>
      </c>
      <c r="DV9" s="104">
        <f t="shared" si="1"/>
        <v>59084.939313511401</v>
      </c>
      <c r="DW9" s="104">
        <f t="shared" si="1"/>
        <v>59084.939313511401</v>
      </c>
      <c r="DX9" s="104">
        <f t="shared" si="1"/>
        <v>59084.939313511401</v>
      </c>
      <c r="DY9" s="104">
        <f t="shared" si="1"/>
        <v>59084.939313511401</v>
      </c>
      <c r="DZ9" s="104">
        <f t="shared" si="1"/>
        <v>59084.939313511401</v>
      </c>
      <c r="EA9" s="104">
        <f t="shared" si="1"/>
        <v>59084.939313511401</v>
      </c>
      <c r="EB9" s="104">
        <f t="shared" si="1"/>
        <v>59084.939313511401</v>
      </c>
      <c r="EC9" s="104">
        <f t="shared" ref="EC9:EE9" si="2">SUM(EC5:EC8)</f>
        <v>59084.939313511401</v>
      </c>
      <c r="ED9" s="104">
        <f t="shared" si="2"/>
        <v>59084.939313511401</v>
      </c>
      <c r="EE9" s="104">
        <f t="shared" si="2"/>
        <v>59084.939313511401</v>
      </c>
    </row>
    <row r="10" spans="2:135" ht="21" customHeight="1" x14ac:dyDescent="0.2">
      <c r="D10" s="96"/>
      <c r="E10" s="96"/>
      <c r="F10" s="96"/>
      <c r="G10" s="96"/>
      <c r="H10" s="96"/>
      <c r="I10" s="96"/>
      <c r="J10" s="96"/>
      <c r="K10" s="96"/>
      <c r="L10" s="96"/>
      <c r="M10" s="96"/>
      <c r="N10" s="96"/>
      <c r="O10" s="96"/>
      <c r="P10" s="96"/>
      <c r="Q10" s="96"/>
      <c r="R10" s="96"/>
      <c r="S10" s="96"/>
      <c r="T10" s="96"/>
      <c r="U10" s="96"/>
      <c r="V10" s="96"/>
      <c r="W10" s="96"/>
      <c r="X10" s="96"/>
      <c r="Y10" s="96"/>
      <c r="Z10" s="96"/>
      <c r="AA10" s="96"/>
      <c r="AB10" s="96"/>
      <c r="AC10" s="96"/>
      <c r="AD10" s="96"/>
      <c r="AE10" s="96"/>
      <c r="AF10" s="96"/>
      <c r="AG10" s="96"/>
      <c r="AH10" s="96"/>
      <c r="AI10" s="96"/>
      <c r="AJ10" s="96"/>
      <c r="AK10" s="96"/>
      <c r="AL10" s="96"/>
      <c r="AM10" s="96"/>
      <c r="AN10" s="96"/>
      <c r="AO10" s="96"/>
      <c r="AP10" s="96"/>
      <c r="AQ10" s="96"/>
      <c r="AR10" s="96"/>
      <c r="AS10" s="96"/>
      <c r="AT10" s="96"/>
      <c r="AU10" s="96"/>
      <c r="AV10" s="96"/>
      <c r="AW10" s="96"/>
      <c r="AX10" s="96"/>
      <c r="AY10" s="96"/>
      <c r="AZ10" s="96"/>
      <c r="BA10" s="96"/>
      <c r="BB10" s="96"/>
      <c r="BC10" s="96"/>
      <c r="BD10" s="96"/>
      <c r="BE10" s="96"/>
      <c r="BF10" s="96"/>
      <c r="BG10" s="96"/>
      <c r="BH10" s="96"/>
      <c r="BI10" s="96"/>
      <c r="BJ10" s="96"/>
      <c r="BK10" s="96"/>
      <c r="BL10" s="96"/>
      <c r="BM10" s="96"/>
      <c r="BN10" s="96"/>
      <c r="BO10" s="96"/>
      <c r="BP10" s="96"/>
      <c r="BQ10" s="96"/>
      <c r="BR10" s="96"/>
      <c r="BS10" s="96"/>
      <c r="BT10" s="96"/>
      <c r="BU10" s="96"/>
      <c r="BV10" s="96"/>
      <c r="BW10" s="96"/>
      <c r="BX10" s="96"/>
      <c r="BY10" s="96"/>
      <c r="BZ10" s="96"/>
      <c r="CA10" s="96"/>
      <c r="CB10" s="96"/>
      <c r="CC10" s="96"/>
      <c r="CD10" s="96"/>
      <c r="CE10" s="96"/>
      <c r="CF10" s="96"/>
      <c r="CG10" s="96"/>
      <c r="CH10" s="96"/>
      <c r="CI10" s="96"/>
      <c r="CJ10" s="96"/>
      <c r="CK10" s="96"/>
      <c r="CL10" s="96"/>
      <c r="CM10" s="96"/>
      <c r="CN10" s="96"/>
      <c r="CO10" s="96"/>
      <c r="CP10" s="96"/>
      <c r="CQ10" s="96"/>
      <c r="CR10" s="96"/>
      <c r="CS10" s="96"/>
      <c r="CT10" s="96"/>
      <c r="CU10" s="96"/>
      <c r="CV10" s="96"/>
      <c r="CW10" s="96"/>
      <c r="CX10" s="96"/>
      <c r="CY10" s="96"/>
      <c r="CZ10" s="96"/>
      <c r="DA10" s="96"/>
      <c r="DB10" s="96"/>
      <c r="DC10" s="96"/>
      <c r="DD10" s="96"/>
      <c r="DE10" s="96"/>
      <c r="DF10" s="96"/>
      <c r="DG10" s="96"/>
      <c r="DH10" s="96"/>
      <c r="DI10" s="96"/>
      <c r="DJ10" s="96"/>
      <c r="DK10" s="96"/>
      <c r="DL10" s="96"/>
      <c r="DM10" s="96"/>
      <c r="DN10" s="96"/>
      <c r="DO10" s="96"/>
      <c r="DP10" s="96"/>
      <c r="DQ10" s="96"/>
      <c r="DR10" s="96"/>
      <c r="DS10" s="96"/>
      <c r="DT10" s="96"/>
      <c r="DU10" s="96"/>
      <c r="DV10" s="96"/>
      <c r="DW10" s="96"/>
      <c r="DX10" s="96"/>
      <c r="DY10" s="96"/>
      <c r="DZ10" s="96"/>
      <c r="EA10" s="96"/>
      <c r="EB10" s="96"/>
      <c r="EC10" s="96"/>
      <c r="ED10" s="96"/>
      <c r="EE10" s="96"/>
    </row>
    <row r="11" spans="2:135" ht="21" customHeight="1" x14ac:dyDescent="0.2">
      <c r="D11" s="73"/>
      <c r="E11" s="73"/>
      <c r="F11" s="73"/>
      <c r="G11" s="73"/>
      <c r="H11" s="73"/>
      <c r="I11" s="73"/>
      <c r="J11" s="73"/>
      <c r="K11" s="73"/>
      <c r="L11" s="73"/>
      <c r="M11" s="73"/>
      <c r="N11" s="73"/>
    </row>
    <row r="12" spans="2:135" ht="21" customHeight="1" x14ac:dyDescent="0.2">
      <c r="E12" s="74"/>
    </row>
    <row r="13" spans="2:135" s="6" customFormat="1" ht="21" customHeight="1" x14ac:dyDescent="0.2">
      <c r="C13" s="22" t="s">
        <v>110</v>
      </c>
      <c r="D13" s="6">
        <v>0</v>
      </c>
      <c r="E13" s="6">
        <v>1</v>
      </c>
      <c r="F13" s="6">
        <v>2</v>
      </c>
      <c r="G13" s="6">
        <v>3</v>
      </c>
      <c r="H13" s="6">
        <v>4</v>
      </c>
      <c r="I13" s="6">
        <v>5</v>
      </c>
      <c r="J13" s="6">
        <v>6</v>
      </c>
      <c r="K13" s="6">
        <v>7</v>
      </c>
      <c r="L13" s="6">
        <v>8</v>
      </c>
      <c r="M13" s="6">
        <v>9</v>
      </c>
      <c r="N13" s="6">
        <v>10</v>
      </c>
    </row>
    <row r="14" spans="2:135" s="6" customFormat="1" ht="21" customHeight="1" x14ac:dyDescent="0.2">
      <c r="C14" s="22" t="s">
        <v>64</v>
      </c>
      <c r="D14" s="95">
        <v>44927</v>
      </c>
      <c r="E14" s="95">
        <v>44958</v>
      </c>
      <c r="F14" s="95">
        <v>44986</v>
      </c>
      <c r="G14" s="95">
        <v>45017</v>
      </c>
      <c r="H14" s="95">
        <v>45047</v>
      </c>
      <c r="I14" s="95">
        <v>45078</v>
      </c>
      <c r="J14" s="95">
        <v>45108</v>
      </c>
      <c r="K14" s="95">
        <v>45139</v>
      </c>
      <c r="L14" s="95">
        <v>45170</v>
      </c>
      <c r="M14" s="95">
        <v>45200</v>
      </c>
      <c r="N14" s="95">
        <v>45231</v>
      </c>
      <c r="O14" s="95">
        <v>45261</v>
      </c>
      <c r="P14" s="95">
        <v>45292</v>
      </c>
      <c r="Q14" s="95">
        <v>45323</v>
      </c>
      <c r="R14" s="95">
        <v>45352</v>
      </c>
      <c r="S14" s="95">
        <v>45383</v>
      </c>
      <c r="T14" s="95">
        <v>45413</v>
      </c>
      <c r="U14" s="95">
        <v>45444</v>
      </c>
      <c r="V14" s="95">
        <v>45474</v>
      </c>
      <c r="W14" s="95">
        <v>45505</v>
      </c>
      <c r="X14" s="95">
        <v>45536</v>
      </c>
      <c r="Y14" s="95">
        <v>45566</v>
      </c>
      <c r="Z14" s="95">
        <v>45597</v>
      </c>
      <c r="AA14" s="95">
        <v>45627</v>
      </c>
      <c r="AB14" s="95">
        <v>45658</v>
      </c>
      <c r="AC14" s="95">
        <v>45689</v>
      </c>
      <c r="AD14" s="95">
        <v>45717</v>
      </c>
      <c r="AE14" s="95">
        <v>45748</v>
      </c>
      <c r="AF14" s="95">
        <v>45778</v>
      </c>
      <c r="AG14" s="95">
        <v>45809</v>
      </c>
      <c r="AH14" s="95">
        <v>45839</v>
      </c>
      <c r="AI14" s="95">
        <v>45870</v>
      </c>
      <c r="AJ14" s="95">
        <v>45901</v>
      </c>
      <c r="AK14" s="95">
        <v>45931</v>
      </c>
      <c r="AL14" s="95">
        <v>45962</v>
      </c>
      <c r="AM14" s="95">
        <v>45992</v>
      </c>
      <c r="AN14" s="95">
        <v>46023</v>
      </c>
      <c r="AO14" s="95">
        <v>46054</v>
      </c>
      <c r="AP14" s="95">
        <v>46082</v>
      </c>
      <c r="AQ14" s="95">
        <v>46113</v>
      </c>
      <c r="AR14" s="95">
        <v>46143</v>
      </c>
      <c r="AS14" s="95">
        <v>46174</v>
      </c>
      <c r="AT14" s="95">
        <v>46204</v>
      </c>
      <c r="AU14" s="95">
        <v>46235</v>
      </c>
      <c r="AV14" s="95">
        <v>46266</v>
      </c>
      <c r="AW14" s="95">
        <v>46296</v>
      </c>
      <c r="AX14" s="95">
        <v>46327</v>
      </c>
      <c r="AY14" s="95">
        <v>46357</v>
      </c>
      <c r="AZ14" s="95">
        <v>46388</v>
      </c>
      <c r="BA14" s="95">
        <v>46419</v>
      </c>
      <c r="BB14" s="95">
        <v>46447</v>
      </c>
      <c r="BC14" s="95">
        <v>46478</v>
      </c>
      <c r="BD14" s="95">
        <v>46508</v>
      </c>
      <c r="BE14" s="95">
        <v>46539</v>
      </c>
      <c r="BF14" s="95">
        <v>46569</v>
      </c>
      <c r="BG14" s="95">
        <v>46600</v>
      </c>
      <c r="BH14" s="95">
        <v>46631</v>
      </c>
      <c r="BI14" s="95">
        <v>46661</v>
      </c>
      <c r="BJ14" s="95">
        <v>46692</v>
      </c>
      <c r="BK14" s="95">
        <v>46722</v>
      </c>
      <c r="BL14" s="95">
        <v>46753</v>
      </c>
      <c r="BM14" s="95">
        <v>46784</v>
      </c>
      <c r="BN14" s="95">
        <v>46813</v>
      </c>
      <c r="BO14" s="95">
        <v>46844</v>
      </c>
      <c r="BP14" s="95">
        <v>46874</v>
      </c>
      <c r="BQ14" s="95">
        <v>46905</v>
      </c>
      <c r="BR14" s="95">
        <v>46935</v>
      </c>
      <c r="BS14" s="95">
        <v>46966</v>
      </c>
      <c r="BT14" s="95">
        <v>46997</v>
      </c>
      <c r="BU14" s="95">
        <v>47027</v>
      </c>
      <c r="BV14" s="95">
        <v>47058</v>
      </c>
      <c r="BW14" s="95">
        <v>47088</v>
      </c>
      <c r="BX14" s="95">
        <v>47119</v>
      </c>
      <c r="BY14" s="95">
        <v>47150</v>
      </c>
      <c r="BZ14" s="95">
        <v>47178</v>
      </c>
      <c r="CA14" s="95">
        <v>47209</v>
      </c>
      <c r="CB14" s="95">
        <v>47239</v>
      </c>
      <c r="CC14" s="95">
        <v>47270</v>
      </c>
      <c r="CD14" s="95">
        <v>47300</v>
      </c>
      <c r="CE14" s="95">
        <v>47331</v>
      </c>
      <c r="CF14" s="95">
        <v>47362</v>
      </c>
      <c r="CG14" s="95">
        <v>47392</v>
      </c>
      <c r="CH14" s="95">
        <v>47423</v>
      </c>
      <c r="CI14" s="95">
        <v>47453</v>
      </c>
      <c r="CJ14" s="95">
        <v>47484</v>
      </c>
      <c r="CK14" s="95">
        <v>47515</v>
      </c>
      <c r="CL14" s="95">
        <v>47543</v>
      </c>
      <c r="CM14" s="95">
        <v>47574</v>
      </c>
      <c r="CN14" s="95">
        <v>47604</v>
      </c>
      <c r="CO14" s="95">
        <v>47635</v>
      </c>
      <c r="CP14" s="95">
        <v>47665</v>
      </c>
      <c r="CQ14" s="95">
        <v>47696</v>
      </c>
      <c r="CR14" s="95">
        <v>47727</v>
      </c>
      <c r="CS14" s="95">
        <v>47757</v>
      </c>
      <c r="CT14" s="95">
        <v>47788</v>
      </c>
      <c r="CU14" s="95">
        <v>47818</v>
      </c>
      <c r="CV14" s="95">
        <v>47849</v>
      </c>
      <c r="CW14" s="95">
        <v>47880</v>
      </c>
      <c r="CX14" s="95">
        <v>47908</v>
      </c>
      <c r="CY14" s="95">
        <v>47939</v>
      </c>
      <c r="CZ14" s="95">
        <v>47969</v>
      </c>
      <c r="DA14" s="95">
        <v>48000</v>
      </c>
      <c r="DB14" s="95">
        <v>48030</v>
      </c>
      <c r="DC14" s="95">
        <v>48061</v>
      </c>
      <c r="DD14" s="95">
        <v>48092</v>
      </c>
      <c r="DE14" s="95">
        <v>48122</v>
      </c>
      <c r="DF14" s="95">
        <v>48153</v>
      </c>
      <c r="DG14" s="95">
        <v>48183</v>
      </c>
      <c r="DH14" s="95">
        <v>48214</v>
      </c>
      <c r="DI14" s="95">
        <v>48245</v>
      </c>
      <c r="DJ14" s="95">
        <v>48274</v>
      </c>
      <c r="DK14" s="95">
        <v>48305</v>
      </c>
      <c r="DL14" s="95">
        <v>48335</v>
      </c>
      <c r="DM14" s="95">
        <v>48366</v>
      </c>
      <c r="DN14" s="95">
        <v>48396</v>
      </c>
      <c r="DO14" s="95">
        <v>48427</v>
      </c>
      <c r="DP14" s="95">
        <v>48458</v>
      </c>
      <c r="DQ14" s="95">
        <v>48488</v>
      </c>
      <c r="DR14" s="95">
        <v>48519</v>
      </c>
      <c r="DS14" s="95">
        <v>48549</v>
      </c>
      <c r="DT14" s="95">
        <v>48580</v>
      </c>
      <c r="DU14" s="95">
        <v>48611</v>
      </c>
      <c r="DV14" s="95">
        <v>48639</v>
      </c>
      <c r="DW14" s="95">
        <v>48670</v>
      </c>
      <c r="DX14" s="95">
        <v>48700</v>
      </c>
      <c r="DY14" s="95">
        <v>48731</v>
      </c>
      <c r="DZ14" s="95">
        <v>48761</v>
      </c>
      <c r="EA14" s="95">
        <v>48792</v>
      </c>
      <c r="EB14" s="95">
        <v>48823</v>
      </c>
      <c r="EC14" s="95">
        <v>48853</v>
      </c>
      <c r="ED14" s="95">
        <v>48884</v>
      </c>
      <c r="EE14" s="95">
        <v>48914</v>
      </c>
    </row>
    <row r="15" spans="2:135" s="100" customFormat="1" ht="21" customHeight="1" x14ac:dyDescent="0.2">
      <c r="C15" s="101" t="s">
        <v>108</v>
      </c>
      <c r="D15" s="102">
        <f>D5/$B$5</f>
        <v>0.74315668039505378</v>
      </c>
      <c r="E15" s="102">
        <f t="shared" ref="E15:BP15" si="3">E5/$B$5</f>
        <v>0.74315668039505378</v>
      </c>
      <c r="F15" s="102">
        <f t="shared" si="3"/>
        <v>0.73899098118994899</v>
      </c>
      <c r="G15" s="102">
        <f t="shared" si="3"/>
        <v>0.73899098118994899</v>
      </c>
      <c r="H15" s="102">
        <f t="shared" si="3"/>
        <v>0.74126814740075231</v>
      </c>
      <c r="I15" s="102">
        <f t="shared" si="3"/>
        <v>0.74126814740075231</v>
      </c>
      <c r="J15" s="102">
        <f t="shared" si="3"/>
        <v>0.8215460295572653</v>
      </c>
      <c r="K15" s="102">
        <f t="shared" si="3"/>
        <v>0.84736301069683084</v>
      </c>
      <c r="L15" s="102">
        <f t="shared" si="3"/>
        <v>0.84736301069683084</v>
      </c>
      <c r="M15" s="102">
        <f t="shared" si="3"/>
        <v>0.8677091359910909</v>
      </c>
      <c r="N15" s="102">
        <f t="shared" si="3"/>
        <v>0.86064011206786128</v>
      </c>
      <c r="O15" s="102">
        <f t="shared" si="3"/>
        <v>0.86872275366667784</v>
      </c>
      <c r="P15" s="102">
        <f t="shared" si="3"/>
        <v>0.88395563431253477</v>
      </c>
      <c r="Q15" s="102">
        <f t="shared" si="3"/>
        <v>0.88333684454028105</v>
      </c>
      <c r="R15" s="102">
        <f t="shared" si="3"/>
        <v>0.88333684454028105</v>
      </c>
      <c r="S15" s="102">
        <f t="shared" si="3"/>
        <v>0.88779838330718741</v>
      </c>
      <c r="T15" s="102">
        <f t="shared" si="3"/>
        <v>0.88779838330718741</v>
      </c>
      <c r="U15" s="102">
        <f t="shared" si="3"/>
        <v>0.88779838330718741</v>
      </c>
      <c r="V15" s="102">
        <f t="shared" si="3"/>
        <v>0.89229879285636582</v>
      </c>
      <c r="W15" s="102">
        <f t="shared" si="3"/>
        <v>0.89229879285636582</v>
      </c>
      <c r="X15" s="102">
        <f t="shared" si="3"/>
        <v>0.89229879285636582</v>
      </c>
      <c r="Y15" s="102">
        <f t="shared" si="3"/>
        <v>0.89229879285636582</v>
      </c>
      <c r="Z15" s="102">
        <f t="shared" si="3"/>
        <v>0.89229879285636582</v>
      </c>
      <c r="AA15" s="102">
        <f t="shared" si="3"/>
        <v>0.89229879285636582</v>
      </c>
      <c r="AB15" s="102">
        <f t="shared" si="3"/>
        <v>0.89229879285636582</v>
      </c>
      <c r="AC15" s="102">
        <f t="shared" si="3"/>
        <v>0.89229879285636582</v>
      </c>
      <c r="AD15" s="102">
        <f t="shared" si="3"/>
        <v>0.89229879285636582</v>
      </c>
      <c r="AE15" s="102">
        <f t="shared" si="3"/>
        <v>0.89229879285636582</v>
      </c>
      <c r="AF15" s="102">
        <f t="shared" si="3"/>
        <v>0.88722210328405693</v>
      </c>
      <c r="AG15" s="102">
        <f t="shared" si="3"/>
        <v>0.88722210328405693</v>
      </c>
      <c r="AH15" s="102">
        <f t="shared" si="3"/>
        <v>0.88722210328405693</v>
      </c>
      <c r="AI15" s="102">
        <f t="shared" si="3"/>
        <v>0.88722210328405693</v>
      </c>
      <c r="AJ15" s="102">
        <f t="shared" si="3"/>
        <v>0.88722210328405693</v>
      </c>
      <c r="AK15" s="102">
        <f t="shared" si="3"/>
        <v>0.88722210328405693</v>
      </c>
      <c r="AL15" s="102">
        <f t="shared" si="3"/>
        <v>0.88725518480088417</v>
      </c>
      <c r="AM15" s="102">
        <f t="shared" si="3"/>
        <v>0.88725518480088417</v>
      </c>
      <c r="AN15" s="102">
        <f t="shared" si="3"/>
        <v>0.88725518480088417</v>
      </c>
      <c r="AO15" s="102">
        <f t="shared" si="3"/>
        <v>0.88725518480088417</v>
      </c>
      <c r="AP15" s="102">
        <f t="shared" si="3"/>
        <v>0.88725518480088417</v>
      </c>
      <c r="AQ15" s="102">
        <f t="shared" si="3"/>
        <v>0.88725518480088417</v>
      </c>
      <c r="AR15" s="102">
        <f t="shared" si="3"/>
        <v>0.88497801859008074</v>
      </c>
      <c r="AS15" s="102">
        <f t="shared" si="3"/>
        <v>0.88497801859008074</v>
      </c>
      <c r="AT15" s="102">
        <f t="shared" si="3"/>
        <v>0.88272880626099637</v>
      </c>
      <c r="AU15" s="102">
        <f t="shared" si="3"/>
        <v>0.88272880626099637</v>
      </c>
      <c r="AV15" s="102">
        <f t="shared" si="3"/>
        <v>0.88272880626099637</v>
      </c>
      <c r="AW15" s="102">
        <f t="shared" si="3"/>
        <v>0.88272880626099637</v>
      </c>
      <c r="AX15" s="102">
        <f t="shared" si="3"/>
        <v>0.88272880626099637</v>
      </c>
      <c r="AY15" s="102">
        <f t="shared" si="3"/>
        <v>0.88272880626099637</v>
      </c>
      <c r="AZ15" s="102">
        <f t="shared" si="3"/>
        <v>0.88975880776167349</v>
      </c>
      <c r="BA15" s="102">
        <f t="shared" si="3"/>
        <v>0.88975880776167349</v>
      </c>
      <c r="BB15" s="102">
        <f t="shared" si="3"/>
        <v>0.88975880776167349</v>
      </c>
      <c r="BC15" s="102">
        <f t="shared" si="3"/>
        <v>0.88975880776167349</v>
      </c>
      <c r="BD15" s="102">
        <f t="shared" si="3"/>
        <v>0.88975880776167349</v>
      </c>
      <c r="BE15" s="102">
        <f t="shared" si="3"/>
        <v>0.88975880776167349</v>
      </c>
      <c r="BF15" s="102">
        <f t="shared" si="3"/>
        <v>0.88975880776167349</v>
      </c>
      <c r="BG15" s="102">
        <f t="shared" si="3"/>
        <v>0.88975880776167349</v>
      </c>
      <c r="BH15" s="102">
        <f t="shared" si="3"/>
        <v>0.83855771713022675</v>
      </c>
      <c r="BI15" s="102">
        <f t="shared" si="3"/>
        <v>0.83855771713022675</v>
      </c>
      <c r="BJ15" s="102">
        <f t="shared" si="3"/>
        <v>0.83855771713022675</v>
      </c>
      <c r="BK15" s="102">
        <f t="shared" si="3"/>
        <v>0.83855771713022675</v>
      </c>
      <c r="BL15" s="102">
        <f t="shared" si="3"/>
        <v>0.8751048570533001</v>
      </c>
      <c r="BM15" s="102">
        <f t="shared" si="3"/>
        <v>0.8751048570533001</v>
      </c>
      <c r="BN15" s="102">
        <f t="shared" si="3"/>
        <v>0.8751048570533001</v>
      </c>
      <c r="BO15" s="102">
        <f t="shared" si="3"/>
        <v>0.8751048570533001</v>
      </c>
      <c r="BP15" s="102">
        <f t="shared" si="3"/>
        <v>0.8751048570533001</v>
      </c>
      <c r="BQ15" s="102">
        <f t="shared" ref="BQ15:EB15" si="4">BQ5/$B$5</f>
        <v>0.8751048570533001</v>
      </c>
      <c r="BR15" s="102">
        <f t="shared" si="4"/>
        <v>0.8751048570533001</v>
      </c>
      <c r="BS15" s="102">
        <f t="shared" si="4"/>
        <v>0.8751048570533001</v>
      </c>
      <c r="BT15" s="102">
        <f t="shared" si="4"/>
        <v>0.8751048570533001</v>
      </c>
      <c r="BU15" s="102">
        <f t="shared" si="4"/>
        <v>0.8751048570533001</v>
      </c>
      <c r="BV15" s="102">
        <f t="shared" si="4"/>
        <v>0.8751048570533001</v>
      </c>
      <c r="BW15" s="102">
        <f t="shared" si="4"/>
        <v>0.8751048570533001</v>
      </c>
      <c r="BX15" s="102">
        <f t="shared" si="4"/>
        <v>0.88806305260211593</v>
      </c>
      <c r="BY15" s="102">
        <f t="shared" si="4"/>
        <v>0.88806305260211593</v>
      </c>
      <c r="BZ15" s="102">
        <f t="shared" si="4"/>
        <v>0.88806305260211593</v>
      </c>
      <c r="CA15" s="102">
        <f t="shared" si="4"/>
        <v>0.88331023107954576</v>
      </c>
      <c r="CB15" s="102">
        <f t="shared" si="4"/>
        <v>0.88786439809356843</v>
      </c>
      <c r="CC15" s="102">
        <f t="shared" si="4"/>
        <v>0.88786439809356843</v>
      </c>
      <c r="CD15" s="102">
        <f t="shared" si="4"/>
        <v>0.89236480764274673</v>
      </c>
      <c r="CE15" s="102">
        <f t="shared" si="4"/>
        <v>0.88781064062872417</v>
      </c>
      <c r="CF15" s="102">
        <f t="shared" si="4"/>
        <v>0.88781064062872417</v>
      </c>
      <c r="CG15" s="102">
        <f t="shared" si="4"/>
        <v>0.88553595553168285</v>
      </c>
      <c r="CH15" s="102">
        <f t="shared" si="4"/>
        <v>0.88553595553168285</v>
      </c>
      <c r="CI15" s="102">
        <f t="shared" si="4"/>
        <v>0.88553595553168285</v>
      </c>
      <c r="CJ15" s="102">
        <f t="shared" si="4"/>
        <v>0.86807735043368872</v>
      </c>
      <c r="CK15" s="102">
        <f t="shared" si="4"/>
        <v>0.86807735043368872</v>
      </c>
      <c r="CL15" s="102">
        <f t="shared" si="4"/>
        <v>0.86807735043368872</v>
      </c>
      <c r="CM15" s="102">
        <f t="shared" si="4"/>
        <v>0.86807735043368872</v>
      </c>
      <c r="CN15" s="102">
        <f t="shared" si="4"/>
        <v>0.86807735043368872</v>
      </c>
      <c r="CO15" s="102">
        <f t="shared" si="4"/>
        <v>0.86807735043368872</v>
      </c>
      <c r="CP15" s="102">
        <f t="shared" si="4"/>
        <v>0.89367715141528348</v>
      </c>
      <c r="CQ15" s="102">
        <f t="shared" si="4"/>
        <v>0.89367715141528348</v>
      </c>
      <c r="CR15" s="102">
        <f t="shared" si="4"/>
        <v>0.89367715141528348</v>
      </c>
      <c r="CS15" s="102">
        <f t="shared" si="4"/>
        <v>0.89367715141528348</v>
      </c>
      <c r="CT15" s="102">
        <f t="shared" si="4"/>
        <v>0.89367715141528348</v>
      </c>
      <c r="CU15" s="102">
        <f t="shared" si="4"/>
        <v>0.89367715141528348</v>
      </c>
      <c r="CV15" s="102">
        <f t="shared" si="4"/>
        <v>0.89367715141528348</v>
      </c>
      <c r="CW15" s="102">
        <f t="shared" si="4"/>
        <v>0.89367715141528348</v>
      </c>
      <c r="CX15" s="102">
        <f t="shared" si="4"/>
        <v>0.89367715141528348</v>
      </c>
      <c r="CY15" s="102">
        <f t="shared" si="4"/>
        <v>0.89367715141528348</v>
      </c>
      <c r="CZ15" s="102">
        <f t="shared" si="4"/>
        <v>0.89367715141528348</v>
      </c>
      <c r="DA15" s="102">
        <f t="shared" si="4"/>
        <v>0.89367715141528348</v>
      </c>
      <c r="DB15" s="102">
        <f t="shared" si="4"/>
        <v>0.89367715141528348</v>
      </c>
      <c r="DC15" s="102">
        <f t="shared" si="4"/>
        <v>0.89367715141528348</v>
      </c>
      <c r="DD15" s="102">
        <f t="shared" si="4"/>
        <v>0.89367715141528348</v>
      </c>
      <c r="DE15" s="102">
        <f t="shared" si="4"/>
        <v>0.89367715141528348</v>
      </c>
      <c r="DF15" s="102">
        <f t="shared" si="4"/>
        <v>0.89367715141528348</v>
      </c>
      <c r="DG15" s="102">
        <f t="shared" si="4"/>
        <v>0.89367715141528348</v>
      </c>
      <c r="DH15" s="102">
        <f t="shared" si="4"/>
        <v>0.89367715141528348</v>
      </c>
      <c r="DI15" s="102">
        <f t="shared" si="4"/>
        <v>0.89367715141528348</v>
      </c>
      <c r="DJ15" s="102">
        <f t="shared" si="4"/>
        <v>0.89367715141528348</v>
      </c>
      <c r="DK15" s="102">
        <f t="shared" si="4"/>
        <v>0.89367715141528348</v>
      </c>
      <c r="DL15" s="102">
        <f t="shared" si="4"/>
        <v>0.89367715141528348</v>
      </c>
      <c r="DM15" s="102">
        <f t="shared" si="4"/>
        <v>0.89367715141528348</v>
      </c>
      <c r="DN15" s="102">
        <f t="shared" si="4"/>
        <v>0.89367715141528348</v>
      </c>
      <c r="DO15" s="102">
        <f t="shared" si="4"/>
        <v>0.89367715141528348</v>
      </c>
      <c r="DP15" s="102">
        <f t="shared" si="4"/>
        <v>0.89367715141528348</v>
      </c>
      <c r="DQ15" s="102">
        <f t="shared" si="4"/>
        <v>0.89367715141528348</v>
      </c>
      <c r="DR15" s="102">
        <f t="shared" si="4"/>
        <v>0.89367715141528348</v>
      </c>
      <c r="DS15" s="102">
        <f t="shared" si="4"/>
        <v>0.89367715141528348</v>
      </c>
      <c r="DT15" s="102">
        <f t="shared" si="4"/>
        <v>0.89367715141528348</v>
      </c>
      <c r="DU15" s="102">
        <f t="shared" si="4"/>
        <v>0.89367715141528348</v>
      </c>
      <c r="DV15" s="102">
        <f t="shared" si="4"/>
        <v>0.89367715141528348</v>
      </c>
      <c r="DW15" s="102">
        <f t="shared" si="4"/>
        <v>0.89367715141528348</v>
      </c>
      <c r="DX15" s="102">
        <f t="shared" si="4"/>
        <v>0.89367715141528348</v>
      </c>
      <c r="DY15" s="102">
        <f t="shared" si="4"/>
        <v>0.89367715141528348</v>
      </c>
      <c r="DZ15" s="102">
        <f t="shared" si="4"/>
        <v>0.89367715141528348</v>
      </c>
      <c r="EA15" s="102">
        <f t="shared" si="4"/>
        <v>0.89367715141528348</v>
      </c>
      <c r="EB15" s="102">
        <f t="shared" si="4"/>
        <v>0.89367715141528348</v>
      </c>
      <c r="EC15" s="102">
        <f t="shared" ref="EC15:EE15" si="5">EC5/$B$5</f>
        <v>0.89367715141528348</v>
      </c>
      <c r="ED15" s="102">
        <f t="shared" si="5"/>
        <v>0.89367715141528348</v>
      </c>
      <c r="EE15" s="102">
        <f t="shared" si="5"/>
        <v>0.89367715141528348</v>
      </c>
    </row>
    <row r="16" spans="2:135" ht="21" customHeight="1" x14ac:dyDescent="0.2">
      <c r="C16" s="22" t="s">
        <v>104</v>
      </c>
      <c r="D16" s="103">
        <f>D6/$B$6</f>
        <v>0.9165051964065527</v>
      </c>
      <c r="E16" s="103">
        <f t="shared" ref="E16:BP16" si="6">E6/$B$6</f>
        <v>0.9165051964065527</v>
      </c>
      <c r="F16" s="103">
        <f t="shared" si="6"/>
        <v>0.9165051964065527</v>
      </c>
      <c r="G16" s="103">
        <f t="shared" si="6"/>
        <v>0.9165051964065527</v>
      </c>
      <c r="H16" s="103">
        <f t="shared" si="6"/>
        <v>0.9165051964065527</v>
      </c>
      <c r="I16" s="103">
        <f t="shared" si="6"/>
        <v>0.9165051964065527</v>
      </c>
      <c r="J16" s="103">
        <f t="shared" si="6"/>
        <v>0.9165051964065527</v>
      </c>
      <c r="K16" s="103">
        <f t="shared" si="6"/>
        <v>0.9165051964065527</v>
      </c>
      <c r="L16" s="103">
        <f t="shared" si="6"/>
        <v>0.9165051964065527</v>
      </c>
      <c r="M16" s="103">
        <f t="shared" si="6"/>
        <v>0.9165051964065527</v>
      </c>
      <c r="N16" s="103">
        <f t="shared" si="6"/>
        <v>0.9165051964065527</v>
      </c>
      <c r="O16" s="103">
        <f t="shared" si="6"/>
        <v>0.9165051964065527</v>
      </c>
      <c r="P16" s="103">
        <f t="shared" si="6"/>
        <v>0.9165051964065527</v>
      </c>
      <c r="Q16" s="103">
        <f t="shared" si="6"/>
        <v>0.9165051964065527</v>
      </c>
      <c r="R16" s="103">
        <f t="shared" si="6"/>
        <v>0.9165051964065527</v>
      </c>
      <c r="S16" s="103">
        <f t="shared" si="6"/>
        <v>0.9165051964065527</v>
      </c>
      <c r="T16" s="103">
        <f t="shared" si="6"/>
        <v>0.9165051964065527</v>
      </c>
      <c r="U16" s="103">
        <f t="shared" si="6"/>
        <v>0.9165051964065527</v>
      </c>
      <c r="V16" s="103">
        <f t="shared" si="6"/>
        <v>0.9165051964065527</v>
      </c>
      <c r="W16" s="103">
        <f t="shared" si="6"/>
        <v>0.9165051964065527</v>
      </c>
      <c r="X16" s="103">
        <f t="shared" si="6"/>
        <v>0.9165051964065527</v>
      </c>
      <c r="Y16" s="103">
        <f t="shared" si="6"/>
        <v>0.9165051964065527</v>
      </c>
      <c r="Z16" s="103">
        <f t="shared" si="6"/>
        <v>0.9165051964065527</v>
      </c>
      <c r="AA16" s="103">
        <f t="shared" si="6"/>
        <v>0.9165051964065527</v>
      </c>
      <c r="AB16" s="103">
        <f t="shared" si="6"/>
        <v>0.9165051964065527</v>
      </c>
      <c r="AC16" s="103">
        <f t="shared" si="6"/>
        <v>0.9165051964065527</v>
      </c>
      <c r="AD16" s="103">
        <f t="shared" si="6"/>
        <v>0.9165051964065527</v>
      </c>
      <c r="AE16" s="103">
        <f t="shared" si="6"/>
        <v>0.9165051964065527</v>
      </c>
      <c r="AF16" s="103">
        <f t="shared" si="6"/>
        <v>0.9165051964065527</v>
      </c>
      <c r="AG16" s="103">
        <f t="shared" si="6"/>
        <v>0.9165051964065527</v>
      </c>
      <c r="AH16" s="103">
        <f t="shared" si="6"/>
        <v>0.9165051964065527</v>
      </c>
      <c r="AI16" s="103">
        <f t="shared" si="6"/>
        <v>0.9165051964065527</v>
      </c>
      <c r="AJ16" s="103">
        <f t="shared" si="6"/>
        <v>0.9165051964065527</v>
      </c>
      <c r="AK16" s="103">
        <f t="shared" si="6"/>
        <v>0.9165051964065527</v>
      </c>
      <c r="AL16" s="103">
        <f t="shared" si="6"/>
        <v>0.9165051964065527</v>
      </c>
      <c r="AM16" s="103">
        <f t="shared" si="6"/>
        <v>0.9165051964065527</v>
      </c>
      <c r="AN16" s="103">
        <f t="shared" si="6"/>
        <v>0.9165051964065527</v>
      </c>
      <c r="AO16" s="103">
        <f t="shared" si="6"/>
        <v>0.9165051964065527</v>
      </c>
      <c r="AP16" s="103">
        <f t="shared" si="6"/>
        <v>0.9165051964065527</v>
      </c>
      <c r="AQ16" s="103">
        <f t="shared" si="6"/>
        <v>0.9165051964065527</v>
      </c>
      <c r="AR16" s="103">
        <f t="shared" si="6"/>
        <v>0.9165051964065527</v>
      </c>
      <c r="AS16" s="103">
        <f t="shared" si="6"/>
        <v>0.9165051964065527</v>
      </c>
      <c r="AT16" s="103">
        <f t="shared" si="6"/>
        <v>0.9165051964065527</v>
      </c>
      <c r="AU16" s="103">
        <f t="shared" si="6"/>
        <v>0.9165051964065527</v>
      </c>
      <c r="AV16" s="103">
        <f t="shared" si="6"/>
        <v>0.9165051964065527</v>
      </c>
      <c r="AW16" s="103">
        <f t="shared" si="6"/>
        <v>0.9165051964065527</v>
      </c>
      <c r="AX16" s="103">
        <f t="shared" si="6"/>
        <v>0.9165051964065527</v>
      </c>
      <c r="AY16" s="103">
        <f t="shared" si="6"/>
        <v>0.9165051964065527</v>
      </c>
      <c r="AZ16" s="103">
        <f t="shared" si="6"/>
        <v>0.9165051964065527</v>
      </c>
      <c r="BA16" s="103">
        <f t="shared" si="6"/>
        <v>0.9165051964065527</v>
      </c>
      <c r="BB16" s="103">
        <f t="shared" si="6"/>
        <v>0.9165051964065527</v>
      </c>
      <c r="BC16" s="103">
        <f t="shared" si="6"/>
        <v>0.9165051964065527</v>
      </c>
      <c r="BD16" s="103">
        <f t="shared" si="6"/>
        <v>0.9165051964065527</v>
      </c>
      <c r="BE16" s="103">
        <f t="shared" si="6"/>
        <v>0.9165051964065527</v>
      </c>
      <c r="BF16" s="103">
        <f t="shared" si="6"/>
        <v>0.9165051964065527</v>
      </c>
      <c r="BG16" s="103">
        <f t="shared" si="6"/>
        <v>0.9165051964065527</v>
      </c>
      <c r="BH16" s="103">
        <f t="shared" si="6"/>
        <v>0.9165051964065527</v>
      </c>
      <c r="BI16" s="103">
        <f t="shared" si="6"/>
        <v>0.9165051964065527</v>
      </c>
      <c r="BJ16" s="103">
        <f t="shared" si="6"/>
        <v>0.9165051964065527</v>
      </c>
      <c r="BK16" s="103">
        <f t="shared" si="6"/>
        <v>0.9165051964065527</v>
      </c>
      <c r="BL16" s="103">
        <f t="shared" si="6"/>
        <v>0.9165051964065527</v>
      </c>
      <c r="BM16" s="103">
        <f t="shared" si="6"/>
        <v>0.9165051964065527</v>
      </c>
      <c r="BN16" s="103">
        <f t="shared" si="6"/>
        <v>0.9165051964065527</v>
      </c>
      <c r="BO16" s="103">
        <f t="shared" si="6"/>
        <v>0.9165051964065527</v>
      </c>
      <c r="BP16" s="103">
        <f t="shared" si="6"/>
        <v>0.9165051964065527</v>
      </c>
      <c r="BQ16" s="103">
        <f t="shared" ref="BQ16:EB16" si="7">BQ6/$B$6</f>
        <v>0.9165051964065527</v>
      </c>
      <c r="BR16" s="103">
        <f t="shared" si="7"/>
        <v>0.9165051964065527</v>
      </c>
      <c r="BS16" s="103">
        <f t="shared" si="7"/>
        <v>0.9165051964065527</v>
      </c>
      <c r="BT16" s="103">
        <f t="shared" si="7"/>
        <v>0.9165051964065527</v>
      </c>
      <c r="BU16" s="103">
        <f t="shared" si="7"/>
        <v>0.9165051964065527</v>
      </c>
      <c r="BV16" s="103">
        <f t="shared" si="7"/>
        <v>0.9165051964065527</v>
      </c>
      <c r="BW16" s="103">
        <f t="shared" si="7"/>
        <v>0.9165051964065527</v>
      </c>
      <c r="BX16" s="103">
        <f t="shared" si="7"/>
        <v>0.9165051964065527</v>
      </c>
      <c r="BY16" s="103">
        <f t="shared" si="7"/>
        <v>0.9165051964065527</v>
      </c>
      <c r="BZ16" s="103">
        <f t="shared" si="7"/>
        <v>0.9165051964065527</v>
      </c>
      <c r="CA16" s="103">
        <f t="shared" si="7"/>
        <v>0.9165051964065527</v>
      </c>
      <c r="CB16" s="103">
        <f t="shared" si="7"/>
        <v>0.9165051964065527</v>
      </c>
      <c r="CC16" s="103">
        <f t="shared" si="7"/>
        <v>0.9165051964065527</v>
      </c>
      <c r="CD16" s="103">
        <f t="shared" si="7"/>
        <v>0.9165051964065527</v>
      </c>
      <c r="CE16" s="103">
        <f t="shared" si="7"/>
        <v>0.9165051964065527</v>
      </c>
      <c r="CF16" s="103">
        <f t="shared" si="7"/>
        <v>0.9165051964065527</v>
      </c>
      <c r="CG16" s="103">
        <f t="shared" si="7"/>
        <v>0.9165051964065527</v>
      </c>
      <c r="CH16" s="103">
        <f t="shared" si="7"/>
        <v>0.9165051964065527</v>
      </c>
      <c r="CI16" s="103">
        <f t="shared" si="7"/>
        <v>0.9165051964065527</v>
      </c>
      <c r="CJ16" s="103">
        <f t="shared" si="7"/>
        <v>0.9165051964065527</v>
      </c>
      <c r="CK16" s="103">
        <f t="shared" si="7"/>
        <v>0.9165051964065527</v>
      </c>
      <c r="CL16" s="103">
        <f t="shared" si="7"/>
        <v>0.9165051964065527</v>
      </c>
      <c r="CM16" s="103">
        <f t="shared" si="7"/>
        <v>0.9165051964065527</v>
      </c>
      <c r="CN16" s="103">
        <f t="shared" si="7"/>
        <v>0.9165051964065527</v>
      </c>
      <c r="CO16" s="103">
        <f t="shared" si="7"/>
        <v>0.9165051964065527</v>
      </c>
      <c r="CP16" s="103">
        <f t="shared" si="7"/>
        <v>0.9165051964065527</v>
      </c>
      <c r="CQ16" s="103">
        <f t="shared" si="7"/>
        <v>0.9165051964065527</v>
      </c>
      <c r="CR16" s="103">
        <f t="shared" si="7"/>
        <v>0.9165051964065527</v>
      </c>
      <c r="CS16" s="103">
        <f t="shared" si="7"/>
        <v>0.9165051964065527</v>
      </c>
      <c r="CT16" s="103">
        <f t="shared" si="7"/>
        <v>0.9165051964065527</v>
      </c>
      <c r="CU16" s="103">
        <f t="shared" si="7"/>
        <v>0.9165051964065527</v>
      </c>
      <c r="CV16" s="103">
        <f t="shared" si="7"/>
        <v>0.9165051964065527</v>
      </c>
      <c r="CW16" s="103">
        <f t="shared" si="7"/>
        <v>0.9165051964065527</v>
      </c>
      <c r="CX16" s="103">
        <f t="shared" si="7"/>
        <v>0.9165051964065527</v>
      </c>
      <c r="CY16" s="103">
        <f t="shared" si="7"/>
        <v>0.9165051964065527</v>
      </c>
      <c r="CZ16" s="103">
        <f t="shared" si="7"/>
        <v>0.9165051964065527</v>
      </c>
      <c r="DA16" s="103">
        <f t="shared" si="7"/>
        <v>0.9165051964065527</v>
      </c>
      <c r="DB16" s="103">
        <f t="shared" si="7"/>
        <v>0.9165051964065527</v>
      </c>
      <c r="DC16" s="103">
        <f t="shared" si="7"/>
        <v>0.9165051964065527</v>
      </c>
      <c r="DD16" s="103">
        <f t="shared" si="7"/>
        <v>0.9165051964065527</v>
      </c>
      <c r="DE16" s="103">
        <f t="shared" si="7"/>
        <v>0.9165051964065527</v>
      </c>
      <c r="DF16" s="103">
        <f t="shared" si="7"/>
        <v>0.9165051964065527</v>
      </c>
      <c r="DG16" s="103">
        <f t="shared" si="7"/>
        <v>0.9165051964065527</v>
      </c>
      <c r="DH16" s="103">
        <f t="shared" si="7"/>
        <v>0.9165051964065527</v>
      </c>
      <c r="DI16" s="103">
        <f t="shared" si="7"/>
        <v>0.9165051964065527</v>
      </c>
      <c r="DJ16" s="103">
        <f t="shared" si="7"/>
        <v>0.9165051964065527</v>
      </c>
      <c r="DK16" s="103">
        <f t="shared" si="7"/>
        <v>0.9165051964065527</v>
      </c>
      <c r="DL16" s="103">
        <f t="shared" si="7"/>
        <v>0.9165051964065527</v>
      </c>
      <c r="DM16" s="103">
        <f t="shared" si="7"/>
        <v>0.9165051964065527</v>
      </c>
      <c r="DN16" s="103">
        <f t="shared" si="7"/>
        <v>0.9165051964065527</v>
      </c>
      <c r="DO16" s="103">
        <f t="shared" si="7"/>
        <v>0.9165051964065527</v>
      </c>
      <c r="DP16" s="103">
        <f t="shared" si="7"/>
        <v>0.9165051964065527</v>
      </c>
      <c r="DQ16" s="103">
        <f t="shared" si="7"/>
        <v>0.9165051964065527</v>
      </c>
      <c r="DR16" s="103">
        <f t="shared" si="7"/>
        <v>0.9165051964065527</v>
      </c>
      <c r="DS16" s="103">
        <f t="shared" si="7"/>
        <v>0.9165051964065527</v>
      </c>
      <c r="DT16" s="103">
        <f t="shared" si="7"/>
        <v>0.9165051964065527</v>
      </c>
      <c r="DU16" s="103">
        <f t="shared" si="7"/>
        <v>0.9165051964065527</v>
      </c>
      <c r="DV16" s="103">
        <f t="shared" si="7"/>
        <v>0.9165051964065527</v>
      </c>
      <c r="DW16" s="103">
        <f t="shared" si="7"/>
        <v>0.9165051964065527</v>
      </c>
      <c r="DX16" s="103">
        <f t="shared" si="7"/>
        <v>0.9165051964065527</v>
      </c>
      <c r="DY16" s="103">
        <f t="shared" si="7"/>
        <v>0.9165051964065527</v>
      </c>
      <c r="DZ16" s="103">
        <f t="shared" si="7"/>
        <v>0.9165051964065527</v>
      </c>
      <c r="EA16" s="103">
        <f t="shared" si="7"/>
        <v>0.9165051964065527</v>
      </c>
      <c r="EB16" s="103">
        <f t="shared" si="7"/>
        <v>0.9165051964065527</v>
      </c>
      <c r="EC16" s="103">
        <f t="shared" ref="EC16:EE16" si="8">EC6/$B$6</f>
        <v>0.9165051964065527</v>
      </c>
      <c r="ED16" s="103">
        <f t="shared" si="8"/>
        <v>0.9165051964065527</v>
      </c>
      <c r="EE16" s="103">
        <f t="shared" si="8"/>
        <v>0.9165051964065527</v>
      </c>
    </row>
    <row r="17" spans="1:135" ht="21" customHeight="1" x14ac:dyDescent="0.2">
      <c r="C17" s="22" t="s">
        <v>105</v>
      </c>
      <c r="D17" s="103">
        <f>D7/$B$7</f>
        <v>0.99721565140367552</v>
      </c>
      <c r="E17" s="103">
        <f t="shared" ref="E17:BP17" si="9">E7/$B$7</f>
        <v>0.99721565140367552</v>
      </c>
      <c r="F17" s="103">
        <f t="shared" si="9"/>
        <v>0.99721565140367552</v>
      </c>
      <c r="G17" s="103">
        <f t="shared" si="9"/>
        <v>0.99721565140367552</v>
      </c>
      <c r="H17" s="103">
        <f t="shared" si="9"/>
        <v>0.99721565140367552</v>
      </c>
      <c r="I17" s="103">
        <f t="shared" si="9"/>
        <v>0.99721565140367552</v>
      </c>
      <c r="J17" s="103">
        <f t="shared" si="9"/>
        <v>0.99721565140367552</v>
      </c>
      <c r="K17" s="103">
        <f t="shared" si="9"/>
        <v>0.99721565140367552</v>
      </c>
      <c r="L17" s="103">
        <f t="shared" si="9"/>
        <v>0.99721565140367552</v>
      </c>
      <c r="M17" s="103">
        <f t="shared" si="9"/>
        <v>0.99721565140367552</v>
      </c>
      <c r="N17" s="103">
        <f t="shared" si="9"/>
        <v>0.99721565140367552</v>
      </c>
      <c r="O17" s="103">
        <f t="shared" si="9"/>
        <v>0.99721565140367552</v>
      </c>
      <c r="P17" s="103">
        <f t="shared" si="9"/>
        <v>0.99721565140367552</v>
      </c>
      <c r="Q17" s="103">
        <f t="shared" si="9"/>
        <v>0.99721565140367552</v>
      </c>
      <c r="R17" s="103">
        <f t="shared" si="9"/>
        <v>0.99721565140367552</v>
      </c>
      <c r="S17" s="103">
        <f t="shared" si="9"/>
        <v>0.99721565140367552</v>
      </c>
      <c r="T17" s="103">
        <f t="shared" si="9"/>
        <v>0.99721565140367552</v>
      </c>
      <c r="U17" s="103">
        <f t="shared" si="9"/>
        <v>0.99721565140367552</v>
      </c>
      <c r="V17" s="103">
        <f t="shared" si="9"/>
        <v>0.99721565140367552</v>
      </c>
      <c r="W17" s="103">
        <f t="shared" si="9"/>
        <v>0.99721565140367552</v>
      </c>
      <c r="X17" s="103">
        <f t="shared" si="9"/>
        <v>0.99721565140367552</v>
      </c>
      <c r="Y17" s="103">
        <f t="shared" si="9"/>
        <v>0.99721565140367552</v>
      </c>
      <c r="Z17" s="103">
        <f t="shared" si="9"/>
        <v>0.99721565140367552</v>
      </c>
      <c r="AA17" s="103">
        <f t="shared" si="9"/>
        <v>0.99721565140367552</v>
      </c>
      <c r="AB17" s="103">
        <f t="shared" si="9"/>
        <v>0.99721565140367552</v>
      </c>
      <c r="AC17" s="103">
        <f t="shared" si="9"/>
        <v>0.99721565140367552</v>
      </c>
      <c r="AD17" s="103">
        <f t="shared" si="9"/>
        <v>0.99721565140367552</v>
      </c>
      <c r="AE17" s="103">
        <f t="shared" si="9"/>
        <v>0.99721565140367552</v>
      </c>
      <c r="AF17" s="103">
        <f t="shared" si="9"/>
        <v>0.99721565140367552</v>
      </c>
      <c r="AG17" s="103">
        <f t="shared" si="9"/>
        <v>0.99721565140367552</v>
      </c>
      <c r="AH17" s="103">
        <f t="shared" si="9"/>
        <v>0.99721565140367552</v>
      </c>
      <c r="AI17" s="103">
        <f t="shared" si="9"/>
        <v>0.99721565140367552</v>
      </c>
      <c r="AJ17" s="103">
        <f t="shared" si="9"/>
        <v>0.99721565140367552</v>
      </c>
      <c r="AK17" s="103">
        <f t="shared" si="9"/>
        <v>0.99721565140367552</v>
      </c>
      <c r="AL17" s="103">
        <f t="shared" si="9"/>
        <v>0.99721565140367552</v>
      </c>
      <c r="AM17" s="103">
        <f t="shared" si="9"/>
        <v>0.99721565140367552</v>
      </c>
      <c r="AN17" s="103">
        <f t="shared" si="9"/>
        <v>0.99721565140367552</v>
      </c>
      <c r="AO17" s="103">
        <f t="shared" si="9"/>
        <v>0.99721565140367552</v>
      </c>
      <c r="AP17" s="103">
        <f t="shared" si="9"/>
        <v>0.99721565140367552</v>
      </c>
      <c r="AQ17" s="103">
        <f t="shared" si="9"/>
        <v>0.99721565140367552</v>
      </c>
      <c r="AR17" s="103">
        <f t="shared" si="9"/>
        <v>0.99721565140367552</v>
      </c>
      <c r="AS17" s="103">
        <f t="shared" si="9"/>
        <v>0.99721565140367552</v>
      </c>
      <c r="AT17" s="103">
        <f t="shared" si="9"/>
        <v>0.99721565140367552</v>
      </c>
      <c r="AU17" s="103">
        <f t="shared" si="9"/>
        <v>0.99721565140367552</v>
      </c>
      <c r="AV17" s="103">
        <f t="shared" si="9"/>
        <v>0.99721565140367552</v>
      </c>
      <c r="AW17" s="103">
        <f t="shared" si="9"/>
        <v>0.99721565140367552</v>
      </c>
      <c r="AX17" s="103">
        <f t="shared" si="9"/>
        <v>0.99721565140367552</v>
      </c>
      <c r="AY17" s="103">
        <f t="shared" si="9"/>
        <v>0.99721565140367552</v>
      </c>
      <c r="AZ17" s="103">
        <f t="shared" si="9"/>
        <v>0.99721565140367552</v>
      </c>
      <c r="BA17" s="103">
        <f t="shared" si="9"/>
        <v>0.99721565140367552</v>
      </c>
      <c r="BB17" s="103">
        <f t="shared" si="9"/>
        <v>0.99721565140367552</v>
      </c>
      <c r="BC17" s="103">
        <f t="shared" si="9"/>
        <v>0.99721565140367552</v>
      </c>
      <c r="BD17" s="103">
        <f t="shared" si="9"/>
        <v>0.99721565140367552</v>
      </c>
      <c r="BE17" s="103">
        <f t="shared" si="9"/>
        <v>0.99721565140367552</v>
      </c>
      <c r="BF17" s="103">
        <f t="shared" si="9"/>
        <v>0.99721565140367552</v>
      </c>
      <c r="BG17" s="103">
        <f t="shared" si="9"/>
        <v>0.99721565140367552</v>
      </c>
      <c r="BH17" s="103">
        <f t="shared" si="9"/>
        <v>0.99721565140367552</v>
      </c>
      <c r="BI17" s="103">
        <f t="shared" si="9"/>
        <v>0.99721565140367552</v>
      </c>
      <c r="BJ17" s="103">
        <f t="shared" si="9"/>
        <v>0.99721565140367552</v>
      </c>
      <c r="BK17" s="103">
        <f t="shared" si="9"/>
        <v>0.99721565140367552</v>
      </c>
      <c r="BL17" s="103">
        <f t="shared" si="9"/>
        <v>0.99721565140367552</v>
      </c>
      <c r="BM17" s="103">
        <f t="shared" si="9"/>
        <v>0.99721565140367552</v>
      </c>
      <c r="BN17" s="103">
        <f t="shared" si="9"/>
        <v>0.99721565140367552</v>
      </c>
      <c r="BO17" s="103">
        <f t="shared" si="9"/>
        <v>0.99721565140367552</v>
      </c>
      <c r="BP17" s="103">
        <f t="shared" si="9"/>
        <v>0.99721565140367552</v>
      </c>
      <c r="BQ17" s="103">
        <f t="shared" ref="BQ17:EB17" si="10">BQ7/$B$7</f>
        <v>0.99721565140367552</v>
      </c>
      <c r="BR17" s="103">
        <f t="shared" si="10"/>
        <v>0.99721565140367552</v>
      </c>
      <c r="BS17" s="103">
        <f t="shared" si="10"/>
        <v>0.99721565140367552</v>
      </c>
      <c r="BT17" s="103">
        <f t="shared" si="10"/>
        <v>0.99721565140367552</v>
      </c>
      <c r="BU17" s="103">
        <f t="shared" si="10"/>
        <v>0.99721565140367552</v>
      </c>
      <c r="BV17" s="103">
        <f t="shared" si="10"/>
        <v>0.99721565140367552</v>
      </c>
      <c r="BW17" s="103">
        <f t="shared" si="10"/>
        <v>0.99721565140367552</v>
      </c>
      <c r="BX17" s="103">
        <f t="shared" si="10"/>
        <v>0.99721565140367552</v>
      </c>
      <c r="BY17" s="103">
        <f t="shared" si="10"/>
        <v>0.99721565140367552</v>
      </c>
      <c r="BZ17" s="103">
        <f t="shared" si="10"/>
        <v>0.99721565140367552</v>
      </c>
      <c r="CA17" s="103">
        <f t="shared" si="10"/>
        <v>0.99721565140367552</v>
      </c>
      <c r="CB17" s="103">
        <f t="shared" si="10"/>
        <v>0.99721565140367552</v>
      </c>
      <c r="CC17" s="103">
        <f t="shared" si="10"/>
        <v>0.99721565140367552</v>
      </c>
      <c r="CD17" s="103">
        <f t="shared" si="10"/>
        <v>0.99721565140367552</v>
      </c>
      <c r="CE17" s="103">
        <f t="shared" si="10"/>
        <v>0.99721565140367552</v>
      </c>
      <c r="CF17" s="103">
        <f t="shared" si="10"/>
        <v>0.99721565140367552</v>
      </c>
      <c r="CG17" s="103">
        <f t="shared" si="10"/>
        <v>0.99721565140367552</v>
      </c>
      <c r="CH17" s="103">
        <f t="shared" si="10"/>
        <v>0.99721565140367552</v>
      </c>
      <c r="CI17" s="103">
        <f t="shared" si="10"/>
        <v>0.99721565140367552</v>
      </c>
      <c r="CJ17" s="103">
        <f t="shared" si="10"/>
        <v>0.99721565140367552</v>
      </c>
      <c r="CK17" s="103">
        <f t="shared" si="10"/>
        <v>0.99721565140367552</v>
      </c>
      <c r="CL17" s="103">
        <f t="shared" si="10"/>
        <v>0.99721565140367552</v>
      </c>
      <c r="CM17" s="103">
        <f t="shared" si="10"/>
        <v>0.99721565140367552</v>
      </c>
      <c r="CN17" s="103">
        <f t="shared" si="10"/>
        <v>0.99721565140367552</v>
      </c>
      <c r="CO17" s="103">
        <f t="shared" si="10"/>
        <v>0.99721565140367552</v>
      </c>
      <c r="CP17" s="103">
        <f t="shared" si="10"/>
        <v>0.99721565140367552</v>
      </c>
      <c r="CQ17" s="103">
        <f t="shared" si="10"/>
        <v>0.99721565140367552</v>
      </c>
      <c r="CR17" s="103">
        <f t="shared" si="10"/>
        <v>0.99721565140367552</v>
      </c>
      <c r="CS17" s="103">
        <f t="shared" si="10"/>
        <v>0.99721565140367552</v>
      </c>
      <c r="CT17" s="103">
        <f t="shared" si="10"/>
        <v>0.99721565140367552</v>
      </c>
      <c r="CU17" s="103">
        <f t="shared" si="10"/>
        <v>0.99721565140367552</v>
      </c>
      <c r="CV17" s="103">
        <f t="shared" si="10"/>
        <v>0.99721565140367552</v>
      </c>
      <c r="CW17" s="103">
        <f t="shared" si="10"/>
        <v>0.99721565140367552</v>
      </c>
      <c r="CX17" s="103">
        <f t="shared" si="10"/>
        <v>0.99721565140367552</v>
      </c>
      <c r="CY17" s="103">
        <f t="shared" si="10"/>
        <v>0.99721565140367552</v>
      </c>
      <c r="CZ17" s="103">
        <f t="shared" si="10"/>
        <v>0.99721565140367552</v>
      </c>
      <c r="DA17" s="103">
        <f t="shared" si="10"/>
        <v>0.99721565140367552</v>
      </c>
      <c r="DB17" s="103">
        <f t="shared" si="10"/>
        <v>0.99721565140367552</v>
      </c>
      <c r="DC17" s="103">
        <f t="shared" si="10"/>
        <v>0.99721565140367552</v>
      </c>
      <c r="DD17" s="103">
        <f t="shared" si="10"/>
        <v>0.99721565140367552</v>
      </c>
      <c r="DE17" s="103">
        <f t="shared" si="10"/>
        <v>0.99721565140367552</v>
      </c>
      <c r="DF17" s="103">
        <f t="shared" si="10"/>
        <v>0.99721565140367552</v>
      </c>
      <c r="DG17" s="103">
        <f t="shared" si="10"/>
        <v>0.99721565140367552</v>
      </c>
      <c r="DH17" s="103">
        <f t="shared" si="10"/>
        <v>0.99721565140367552</v>
      </c>
      <c r="DI17" s="103">
        <f t="shared" si="10"/>
        <v>0.99721565140367552</v>
      </c>
      <c r="DJ17" s="103">
        <f t="shared" si="10"/>
        <v>0.99721565140367552</v>
      </c>
      <c r="DK17" s="103">
        <f t="shared" si="10"/>
        <v>0.99721565140367552</v>
      </c>
      <c r="DL17" s="103">
        <f t="shared" si="10"/>
        <v>0.99721565140367552</v>
      </c>
      <c r="DM17" s="103">
        <f t="shared" si="10"/>
        <v>0.99721565140367552</v>
      </c>
      <c r="DN17" s="103">
        <f t="shared" si="10"/>
        <v>0.99721565140367552</v>
      </c>
      <c r="DO17" s="103">
        <f t="shared" si="10"/>
        <v>0.99721565140367552</v>
      </c>
      <c r="DP17" s="103">
        <f t="shared" si="10"/>
        <v>0.99721565140367552</v>
      </c>
      <c r="DQ17" s="103">
        <f t="shared" si="10"/>
        <v>0.99721565140367552</v>
      </c>
      <c r="DR17" s="103">
        <f t="shared" si="10"/>
        <v>0.99721565140367552</v>
      </c>
      <c r="DS17" s="103">
        <f t="shared" si="10"/>
        <v>0.99721565140367552</v>
      </c>
      <c r="DT17" s="103">
        <f t="shared" si="10"/>
        <v>0.99721565140367552</v>
      </c>
      <c r="DU17" s="103">
        <f t="shared" si="10"/>
        <v>0.99721565140367552</v>
      </c>
      <c r="DV17" s="103">
        <f t="shared" si="10"/>
        <v>0.99721565140367552</v>
      </c>
      <c r="DW17" s="103">
        <f t="shared" si="10"/>
        <v>0.99721565140367552</v>
      </c>
      <c r="DX17" s="103">
        <f t="shared" si="10"/>
        <v>0.99721565140367552</v>
      </c>
      <c r="DY17" s="103">
        <f t="shared" si="10"/>
        <v>0.99721565140367552</v>
      </c>
      <c r="DZ17" s="103">
        <f t="shared" si="10"/>
        <v>0.99721565140367552</v>
      </c>
      <c r="EA17" s="103">
        <f t="shared" si="10"/>
        <v>0.99721565140367552</v>
      </c>
      <c r="EB17" s="103">
        <f t="shared" si="10"/>
        <v>0.99721565140367552</v>
      </c>
      <c r="EC17" s="103">
        <f t="shared" ref="EC17:EE17" si="11">EC7/$B$7</f>
        <v>0.99721565140367552</v>
      </c>
      <c r="ED17" s="103">
        <f t="shared" si="11"/>
        <v>0.99721565140367552</v>
      </c>
      <c r="EE17" s="103">
        <f t="shared" si="11"/>
        <v>0.99721565140367552</v>
      </c>
    </row>
    <row r="18" spans="1:135" s="23" customFormat="1" ht="21" customHeight="1" x14ac:dyDescent="0.2">
      <c r="C18" s="22" t="s">
        <v>106</v>
      </c>
      <c r="D18" s="103">
        <f>D8/$B$8</f>
        <v>1</v>
      </c>
      <c r="E18" s="103">
        <f t="shared" ref="E18:BP18" si="12">E8/$B$8</f>
        <v>1</v>
      </c>
      <c r="F18" s="103">
        <f t="shared" si="12"/>
        <v>1</v>
      </c>
      <c r="G18" s="103">
        <f t="shared" si="12"/>
        <v>1</v>
      </c>
      <c r="H18" s="103">
        <f t="shared" si="12"/>
        <v>1</v>
      </c>
      <c r="I18" s="103">
        <f t="shared" si="12"/>
        <v>1</v>
      </c>
      <c r="J18" s="103">
        <f t="shared" si="12"/>
        <v>1</v>
      </c>
      <c r="K18" s="103">
        <f t="shared" si="12"/>
        <v>1</v>
      </c>
      <c r="L18" s="103">
        <f t="shared" si="12"/>
        <v>1</v>
      </c>
      <c r="M18" s="103">
        <f t="shared" si="12"/>
        <v>1</v>
      </c>
      <c r="N18" s="103">
        <f t="shared" si="12"/>
        <v>1</v>
      </c>
      <c r="O18" s="103">
        <f t="shared" si="12"/>
        <v>1</v>
      </c>
      <c r="P18" s="103">
        <f t="shared" si="12"/>
        <v>1</v>
      </c>
      <c r="Q18" s="103">
        <f t="shared" si="12"/>
        <v>1</v>
      </c>
      <c r="R18" s="103">
        <f t="shared" si="12"/>
        <v>1</v>
      </c>
      <c r="S18" s="103">
        <f t="shared" si="12"/>
        <v>1</v>
      </c>
      <c r="T18" s="103">
        <f t="shared" si="12"/>
        <v>1</v>
      </c>
      <c r="U18" s="103">
        <f t="shared" si="12"/>
        <v>1</v>
      </c>
      <c r="V18" s="103">
        <f t="shared" si="12"/>
        <v>1</v>
      </c>
      <c r="W18" s="103">
        <f t="shared" si="12"/>
        <v>1</v>
      </c>
      <c r="X18" s="103">
        <f t="shared" si="12"/>
        <v>1</v>
      </c>
      <c r="Y18" s="103">
        <f t="shared" si="12"/>
        <v>1</v>
      </c>
      <c r="Z18" s="103">
        <f t="shared" si="12"/>
        <v>1</v>
      </c>
      <c r="AA18" s="103">
        <f t="shared" si="12"/>
        <v>1</v>
      </c>
      <c r="AB18" s="103">
        <f t="shared" si="12"/>
        <v>1</v>
      </c>
      <c r="AC18" s="103">
        <f t="shared" si="12"/>
        <v>1</v>
      </c>
      <c r="AD18" s="103">
        <f t="shared" si="12"/>
        <v>1</v>
      </c>
      <c r="AE18" s="103">
        <f t="shared" si="12"/>
        <v>1</v>
      </c>
      <c r="AF18" s="103">
        <f t="shared" si="12"/>
        <v>1</v>
      </c>
      <c r="AG18" s="103">
        <f t="shared" si="12"/>
        <v>1</v>
      </c>
      <c r="AH18" s="103">
        <f t="shared" si="12"/>
        <v>1</v>
      </c>
      <c r="AI18" s="103">
        <f t="shared" si="12"/>
        <v>1</v>
      </c>
      <c r="AJ18" s="103">
        <f t="shared" si="12"/>
        <v>1</v>
      </c>
      <c r="AK18" s="103">
        <f t="shared" si="12"/>
        <v>1</v>
      </c>
      <c r="AL18" s="103">
        <f t="shared" si="12"/>
        <v>1</v>
      </c>
      <c r="AM18" s="103">
        <f t="shared" si="12"/>
        <v>1</v>
      </c>
      <c r="AN18" s="103">
        <f t="shared" si="12"/>
        <v>1</v>
      </c>
      <c r="AO18" s="103">
        <f t="shared" si="12"/>
        <v>1</v>
      </c>
      <c r="AP18" s="103">
        <f t="shared" si="12"/>
        <v>1</v>
      </c>
      <c r="AQ18" s="103">
        <f t="shared" si="12"/>
        <v>1</v>
      </c>
      <c r="AR18" s="103">
        <f t="shared" si="12"/>
        <v>1</v>
      </c>
      <c r="AS18" s="103">
        <f t="shared" si="12"/>
        <v>1</v>
      </c>
      <c r="AT18" s="103">
        <f t="shared" si="12"/>
        <v>1</v>
      </c>
      <c r="AU18" s="103">
        <f t="shared" si="12"/>
        <v>1</v>
      </c>
      <c r="AV18" s="103">
        <f t="shared" si="12"/>
        <v>1</v>
      </c>
      <c r="AW18" s="103">
        <f t="shared" si="12"/>
        <v>1</v>
      </c>
      <c r="AX18" s="103">
        <f t="shared" si="12"/>
        <v>1</v>
      </c>
      <c r="AY18" s="103">
        <f t="shared" si="12"/>
        <v>1</v>
      </c>
      <c r="AZ18" s="103">
        <f t="shared" si="12"/>
        <v>1</v>
      </c>
      <c r="BA18" s="103">
        <f t="shared" si="12"/>
        <v>1</v>
      </c>
      <c r="BB18" s="103">
        <f t="shared" si="12"/>
        <v>1</v>
      </c>
      <c r="BC18" s="103">
        <f t="shared" si="12"/>
        <v>1</v>
      </c>
      <c r="BD18" s="103">
        <f t="shared" si="12"/>
        <v>1</v>
      </c>
      <c r="BE18" s="103">
        <f t="shared" si="12"/>
        <v>1</v>
      </c>
      <c r="BF18" s="103">
        <f t="shared" si="12"/>
        <v>1</v>
      </c>
      <c r="BG18" s="103">
        <f t="shared" si="12"/>
        <v>1</v>
      </c>
      <c r="BH18" s="103">
        <f t="shared" si="12"/>
        <v>1</v>
      </c>
      <c r="BI18" s="103">
        <f t="shared" si="12"/>
        <v>1</v>
      </c>
      <c r="BJ18" s="103">
        <f t="shared" si="12"/>
        <v>1</v>
      </c>
      <c r="BK18" s="103">
        <f t="shared" si="12"/>
        <v>1</v>
      </c>
      <c r="BL18" s="103">
        <f t="shared" si="12"/>
        <v>1</v>
      </c>
      <c r="BM18" s="103">
        <f t="shared" si="12"/>
        <v>1</v>
      </c>
      <c r="BN18" s="103">
        <f t="shared" si="12"/>
        <v>1</v>
      </c>
      <c r="BO18" s="103">
        <f t="shared" si="12"/>
        <v>1</v>
      </c>
      <c r="BP18" s="103">
        <f t="shared" si="12"/>
        <v>1</v>
      </c>
      <c r="BQ18" s="103">
        <f t="shared" ref="BQ18:EB18" si="13">BQ8/$B$8</f>
        <v>1</v>
      </c>
      <c r="BR18" s="103">
        <f t="shared" si="13"/>
        <v>1</v>
      </c>
      <c r="BS18" s="103">
        <f t="shared" si="13"/>
        <v>1</v>
      </c>
      <c r="BT18" s="103">
        <f t="shared" si="13"/>
        <v>1</v>
      </c>
      <c r="BU18" s="103">
        <f t="shared" si="13"/>
        <v>1</v>
      </c>
      <c r="BV18" s="103">
        <f t="shared" si="13"/>
        <v>1</v>
      </c>
      <c r="BW18" s="103">
        <f t="shared" si="13"/>
        <v>1</v>
      </c>
      <c r="BX18" s="103">
        <f t="shared" si="13"/>
        <v>1</v>
      </c>
      <c r="BY18" s="103">
        <f t="shared" si="13"/>
        <v>1</v>
      </c>
      <c r="BZ18" s="103">
        <f t="shared" si="13"/>
        <v>1</v>
      </c>
      <c r="CA18" s="103">
        <f t="shared" si="13"/>
        <v>1</v>
      </c>
      <c r="CB18" s="103">
        <f t="shared" si="13"/>
        <v>1</v>
      </c>
      <c r="CC18" s="103">
        <f t="shared" si="13"/>
        <v>1</v>
      </c>
      <c r="CD18" s="103">
        <f t="shared" si="13"/>
        <v>1</v>
      </c>
      <c r="CE18" s="103">
        <f t="shared" si="13"/>
        <v>1</v>
      </c>
      <c r="CF18" s="103">
        <f t="shared" si="13"/>
        <v>1</v>
      </c>
      <c r="CG18" s="103">
        <f t="shared" si="13"/>
        <v>1</v>
      </c>
      <c r="CH18" s="103">
        <f t="shared" si="13"/>
        <v>1</v>
      </c>
      <c r="CI18" s="103">
        <f t="shared" si="13"/>
        <v>1</v>
      </c>
      <c r="CJ18" s="103">
        <f t="shared" si="13"/>
        <v>1</v>
      </c>
      <c r="CK18" s="103">
        <f t="shared" si="13"/>
        <v>1</v>
      </c>
      <c r="CL18" s="103">
        <f t="shared" si="13"/>
        <v>1</v>
      </c>
      <c r="CM18" s="103">
        <f t="shared" si="13"/>
        <v>1</v>
      </c>
      <c r="CN18" s="103">
        <f t="shared" si="13"/>
        <v>1</v>
      </c>
      <c r="CO18" s="103">
        <f t="shared" si="13"/>
        <v>1</v>
      </c>
      <c r="CP18" s="103">
        <f t="shared" si="13"/>
        <v>1</v>
      </c>
      <c r="CQ18" s="103">
        <f t="shared" si="13"/>
        <v>1</v>
      </c>
      <c r="CR18" s="103">
        <f t="shared" si="13"/>
        <v>1</v>
      </c>
      <c r="CS18" s="103">
        <f t="shared" si="13"/>
        <v>1</v>
      </c>
      <c r="CT18" s="103">
        <f t="shared" si="13"/>
        <v>1</v>
      </c>
      <c r="CU18" s="103">
        <f t="shared" si="13"/>
        <v>1</v>
      </c>
      <c r="CV18" s="103">
        <f t="shared" si="13"/>
        <v>1</v>
      </c>
      <c r="CW18" s="103">
        <f t="shared" si="13"/>
        <v>1</v>
      </c>
      <c r="CX18" s="103">
        <f t="shared" si="13"/>
        <v>1</v>
      </c>
      <c r="CY18" s="103">
        <f t="shared" si="13"/>
        <v>1</v>
      </c>
      <c r="CZ18" s="103">
        <f t="shared" si="13"/>
        <v>1</v>
      </c>
      <c r="DA18" s="103">
        <f t="shared" si="13"/>
        <v>1</v>
      </c>
      <c r="DB18" s="103">
        <f t="shared" si="13"/>
        <v>1</v>
      </c>
      <c r="DC18" s="103">
        <f t="shared" si="13"/>
        <v>1</v>
      </c>
      <c r="DD18" s="103">
        <f t="shared" si="13"/>
        <v>1</v>
      </c>
      <c r="DE18" s="103">
        <f t="shared" si="13"/>
        <v>1</v>
      </c>
      <c r="DF18" s="103">
        <f t="shared" si="13"/>
        <v>1</v>
      </c>
      <c r="DG18" s="103">
        <f t="shared" si="13"/>
        <v>1</v>
      </c>
      <c r="DH18" s="103">
        <f t="shared" si="13"/>
        <v>1</v>
      </c>
      <c r="DI18" s="103">
        <f t="shared" si="13"/>
        <v>1</v>
      </c>
      <c r="DJ18" s="103">
        <f t="shared" si="13"/>
        <v>1</v>
      </c>
      <c r="DK18" s="103">
        <f t="shared" si="13"/>
        <v>1</v>
      </c>
      <c r="DL18" s="103">
        <f t="shared" si="13"/>
        <v>1</v>
      </c>
      <c r="DM18" s="103">
        <f t="shared" si="13"/>
        <v>1</v>
      </c>
      <c r="DN18" s="103">
        <f t="shared" si="13"/>
        <v>1</v>
      </c>
      <c r="DO18" s="103">
        <f t="shared" si="13"/>
        <v>1</v>
      </c>
      <c r="DP18" s="103">
        <f t="shared" si="13"/>
        <v>1</v>
      </c>
      <c r="DQ18" s="103">
        <f t="shared" si="13"/>
        <v>1</v>
      </c>
      <c r="DR18" s="103">
        <f t="shared" si="13"/>
        <v>1</v>
      </c>
      <c r="DS18" s="103">
        <f t="shared" si="13"/>
        <v>1</v>
      </c>
      <c r="DT18" s="103">
        <f t="shared" si="13"/>
        <v>1</v>
      </c>
      <c r="DU18" s="103">
        <f t="shared" si="13"/>
        <v>1</v>
      </c>
      <c r="DV18" s="103">
        <f t="shared" si="13"/>
        <v>1</v>
      </c>
      <c r="DW18" s="103">
        <f t="shared" si="13"/>
        <v>1</v>
      </c>
      <c r="DX18" s="103">
        <f t="shared" si="13"/>
        <v>1</v>
      </c>
      <c r="DY18" s="103">
        <f t="shared" si="13"/>
        <v>1</v>
      </c>
      <c r="DZ18" s="103">
        <f t="shared" si="13"/>
        <v>1</v>
      </c>
      <c r="EA18" s="103">
        <f t="shared" si="13"/>
        <v>1</v>
      </c>
      <c r="EB18" s="103">
        <f t="shared" si="13"/>
        <v>1</v>
      </c>
      <c r="EC18" s="103">
        <f t="shared" ref="EC18:EE18" si="14">EC8/$B$8</f>
        <v>1</v>
      </c>
      <c r="ED18" s="103">
        <f t="shared" si="14"/>
        <v>1</v>
      </c>
      <c r="EE18" s="103">
        <f t="shared" si="14"/>
        <v>1</v>
      </c>
    </row>
    <row r="19" spans="1:135" ht="21" customHeight="1" x14ac:dyDescent="0.2">
      <c r="C19" s="22" t="s">
        <v>67</v>
      </c>
      <c r="D19" s="112">
        <f>D9/$B$9</f>
        <v>0.76189276552363494</v>
      </c>
      <c r="E19" s="112">
        <f t="shared" ref="E19:BP19" si="15">E9/$B$9</f>
        <v>0.76189276552363494</v>
      </c>
      <c r="F19" s="112">
        <f t="shared" si="15"/>
        <v>0.75805404103456542</v>
      </c>
      <c r="G19" s="112">
        <f t="shared" si="15"/>
        <v>0.75805404103456542</v>
      </c>
      <c r="H19" s="112">
        <f t="shared" si="15"/>
        <v>0.760152467557628</v>
      </c>
      <c r="I19" s="112">
        <f t="shared" si="15"/>
        <v>0.760152467557628</v>
      </c>
      <c r="J19" s="112">
        <f t="shared" si="15"/>
        <v>0.83412916558402639</v>
      </c>
      <c r="K19" s="112">
        <f t="shared" si="15"/>
        <v>0.85791971618663621</v>
      </c>
      <c r="L19" s="112">
        <f t="shared" si="15"/>
        <v>0.85791971618663621</v>
      </c>
      <c r="M19" s="112">
        <f t="shared" si="15"/>
        <v>0.87666883021989206</v>
      </c>
      <c r="N19" s="112">
        <f t="shared" si="15"/>
        <v>0.87015466923230411</v>
      </c>
      <c r="O19" s="112">
        <f t="shared" si="15"/>
        <v>0.87760288685774557</v>
      </c>
      <c r="P19" s="112">
        <f t="shared" si="15"/>
        <v>0.89164010584433673</v>
      </c>
      <c r="Q19" s="112">
        <f t="shared" si="15"/>
        <v>0.89106988621603878</v>
      </c>
      <c r="R19" s="112">
        <f t="shared" si="15"/>
        <v>0.89106988621603878</v>
      </c>
      <c r="S19" s="112">
        <f t="shared" si="15"/>
        <v>0.89518122918157716</v>
      </c>
      <c r="T19" s="112">
        <f t="shared" si="15"/>
        <v>0.89518122918157716</v>
      </c>
      <c r="U19" s="112">
        <f t="shared" si="15"/>
        <v>0.89518122918157716</v>
      </c>
      <c r="V19" s="112">
        <f t="shared" si="15"/>
        <v>0.89932839187784264</v>
      </c>
      <c r="W19" s="112">
        <f t="shared" si="15"/>
        <v>0.89932839187784264</v>
      </c>
      <c r="X19" s="112">
        <f t="shared" si="15"/>
        <v>0.89932839187784264</v>
      </c>
      <c r="Y19" s="112">
        <f t="shared" si="15"/>
        <v>0.89932839187784264</v>
      </c>
      <c r="Z19" s="112">
        <f t="shared" si="15"/>
        <v>0.89932839187784264</v>
      </c>
      <c r="AA19" s="112">
        <f t="shared" si="15"/>
        <v>0.89932839187784264</v>
      </c>
      <c r="AB19" s="112">
        <f t="shared" si="15"/>
        <v>0.89932839187784264</v>
      </c>
      <c r="AC19" s="112">
        <f t="shared" si="15"/>
        <v>0.89932839187784264</v>
      </c>
      <c r="AD19" s="112">
        <f t="shared" si="15"/>
        <v>0.89932839187784264</v>
      </c>
      <c r="AE19" s="112">
        <f t="shared" si="15"/>
        <v>0.89932839187784264</v>
      </c>
      <c r="AF19" s="112">
        <f t="shared" si="15"/>
        <v>0.8946501826205</v>
      </c>
      <c r="AG19" s="112">
        <f t="shared" si="15"/>
        <v>0.8946501826205</v>
      </c>
      <c r="AH19" s="112">
        <f t="shared" si="15"/>
        <v>0.8946501826205</v>
      </c>
      <c r="AI19" s="112">
        <f t="shared" si="15"/>
        <v>0.8946501826205</v>
      </c>
      <c r="AJ19" s="112">
        <f t="shared" si="15"/>
        <v>0.8946501826205</v>
      </c>
      <c r="AK19" s="112">
        <f t="shared" si="15"/>
        <v>0.8946501826205</v>
      </c>
      <c r="AL19" s="112">
        <f t="shared" si="15"/>
        <v>0.89468066749771458</v>
      </c>
      <c r="AM19" s="112">
        <f t="shared" si="15"/>
        <v>0.89468066749771458</v>
      </c>
      <c r="AN19" s="112">
        <f t="shared" si="15"/>
        <v>0.89468066749771458</v>
      </c>
      <c r="AO19" s="112">
        <f t="shared" si="15"/>
        <v>0.89468066749771458</v>
      </c>
      <c r="AP19" s="112">
        <f t="shared" si="15"/>
        <v>0.89468066749771458</v>
      </c>
      <c r="AQ19" s="112">
        <f t="shared" si="15"/>
        <v>0.89468066749771458</v>
      </c>
      <c r="AR19" s="112">
        <f t="shared" si="15"/>
        <v>0.89258224097465189</v>
      </c>
      <c r="AS19" s="112">
        <f t="shared" si="15"/>
        <v>0.89258224097465189</v>
      </c>
      <c r="AT19" s="112">
        <f t="shared" si="15"/>
        <v>0.89050957417283561</v>
      </c>
      <c r="AU19" s="112">
        <f t="shared" si="15"/>
        <v>0.89050957417283561</v>
      </c>
      <c r="AV19" s="112">
        <f t="shared" si="15"/>
        <v>0.89050957417283561</v>
      </c>
      <c r="AW19" s="112">
        <f t="shared" si="15"/>
        <v>0.89050957417283561</v>
      </c>
      <c r="AX19" s="112">
        <f t="shared" si="15"/>
        <v>0.89050957417283561</v>
      </c>
      <c r="AY19" s="112">
        <f t="shared" si="15"/>
        <v>0.89050957417283561</v>
      </c>
      <c r="AZ19" s="112">
        <f t="shared" si="15"/>
        <v>0.89698777569198873</v>
      </c>
      <c r="BA19" s="112">
        <f t="shared" si="15"/>
        <v>0.89698777569198873</v>
      </c>
      <c r="BB19" s="112">
        <f t="shared" si="15"/>
        <v>0.89698777569198873</v>
      </c>
      <c r="BC19" s="112">
        <f t="shared" si="15"/>
        <v>0.89698777569198873</v>
      </c>
      <c r="BD19" s="112">
        <f t="shared" si="15"/>
        <v>0.89698777569198873</v>
      </c>
      <c r="BE19" s="112">
        <f t="shared" si="15"/>
        <v>0.89698777569198873</v>
      </c>
      <c r="BF19" s="112">
        <f t="shared" si="15"/>
        <v>0.89698777569198873</v>
      </c>
      <c r="BG19" s="112">
        <f t="shared" si="15"/>
        <v>0.89698777569198873</v>
      </c>
      <c r="BH19" s="112">
        <f t="shared" si="15"/>
        <v>0.84980556910512139</v>
      </c>
      <c r="BI19" s="112">
        <f t="shared" si="15"/>
        <v>0.84980556910512139</v>
      </c>
      <c r="BJ19" s="112">
        <f t="shared" si="15"/>
        <v>0.84980556910512139</v>
      </c>
      <c r="BK19" s="112">
        <f t="shared" si="15"/>
        <v>0.84980556910512139</v>
      </c>
      <c r="BL19" s="112">
        <f t="shared" si="15"/>
        <v>0.88348404518333434</v>
      </c>
      <c r="BM19" s="112">
        <f t="shared" si="15"/>
        <v>0.88348404518333434</v>
      </c>
      <c r="BN19" s="112">
        <f t="shared" si="15"/>
        <v>0.88348404518333434</v>
      </c>
      <c r="BO19" s="112">
        <f t="shared" si="15"/>
        <v>0.88348404518333434</v>
      </c>
      <c r="BP19" s="112">
        <f t="shared" si="15"/>
        <v>0.88348404518333434</v>
      </c>
      <c r="BQ19" s="112">
        <f t="shared" ref="BQ19:EB19" si="16">BQ9/$B$9</f>
        <v>0.88348404518333434</v>
      </c>
      <c r="BR19" s="112">
        <f t="shared" si="16"/>
        <v>0.88348404518333434</v>
      </c>
      <c r="BS19" s="112">
        <f t="shared" si="16"/>
        <v>0.88348404518333434</v>
      </c>
      <c r="BT19" s="112">
        <f t="shared" si="16"/>
        <v>0.88348404518333434</v>
      </c>
      <c r="BU19" s="112">
        <f t="shared" si="16"/>
        <v>0.88348404518333434</v>
      </c>
      <c r="BV19" s="112">
        <f t="shared" si="16"/>
        <v>0.88348404518333434</v>
      </c>
      <c r="BW19" s="112">
        <f t="shared" si="16"/>
        <v>0.88348404518333434</v>
      </c>
      <c r="BX19" s="112">
        <f t="shared" si="16"/>
        <v>0.89542512401265417</v>
      </c>
      <c r="BY19" s="112">
        <f t="shared" si="16"/>
        <v>0.89542512401265417</v>
      </c>
      <c r="BZ19" s="112">
        <f t="shared" si="16"/>
        <v>0.89542512401265417</v>
      </c>
      <c r="CA19" s="112">
        <f t="shared" si="16"/>
        <v>0.89104536170324189</v>
      </c>
      <c r="CB19" s="112">
        <f t="shared" si="16"/>
        <v>0.89524206232498094</v>
      </c>
      <c r="CC19" s="112">
        <f t="shared" si="16"/>
        <v>0.89524206232498094</v>
      </c>
      <c r="CD19" s="112">
        <f t="shared" si="16"/>
        <v>0.89938922502124641</v>
      </c>
      <c r="CE19" s="112">
        <f t="shared" si="16"/>
        <v>0.89519252439950736</v>
      </c>
      <c r="CF19" s="112">
        <f t="shared" si="16"/>
        <v>0.89519252439950736</v>
      </c>
      <c r="CG19" s="112">
        <f t="shared" si="16"/>
        <v>0.89309638424223592</v>
      </c>
      <c r="CH19" s="112">
        <f t="shared" si="16"/>
        <v>0.89309638424223592</v>
      </c>
      <c r="CI19" s="112">
        <f t="shared" si="16"/>
        <v>0.89309638424223592</v>
      </c>
      <c r="CJ19" s="112">
        <f t="shared" si="16"/>
        <v>0.87700814271665062</v>
      </c>
      <c r="CK19" s="112">
        <f t="shared" si="16"/>
        <v>0.87700814271665062</v>
      </c>
      <c r="CL19" s="112">
        <f t="shared" si="16"/>
        <v>0.87700814271665062</v>
      </c>
      <c r="CM19" s="112">
        <f t="shared" si="16"/>
        <v>0.87700814271665062</v>
      </c>
      <c r="CN19" s="112">
        <f t="shared" si="16"/>
        <v>0.87700814271665062</v>
      </c>
      <c r="CO19" s="112">
        <f t="shared" si="16"/>
        <v>0.87700814271665062</v>
      </c>
      <c r="CP19" s="112">
        <f t="shared" si="16"/>
        <v>0.900598560100347</v>
      </c>
      <c r="CQ19" s="112">
        <f t="shared" si="16"/>
        <v>0.900598560100347</v>
      </c>
      <c r="CR19" s="112">
        <f t="shared" si="16"/>
        <v>0.900598560100347</v>
      </c>
      <c r="CS19" s="112">
        <f t="shared" si="16"/>
        <v>0.900598560100347</v>
      </c>
      <c r="CT19" s="112">
        <f t="shared" si="16"/>
        <v>0.900598560100347</v>
      </c>
      <c r="CU19" s="112">
        <f t="shared" si="16"/>
        <v>0.900598560100347</v>
      </c>
      <c r="CV19" s="112">
        <f t="shared" si="16"/>
        <v>0.900598560100347</v>
      </c>
      <c r="CW19" s="112">
        <f t="shared" si="16"/>
        <v>0.900598560100347</v>
      </c>
      <c r="CX19" s="112">
        <f t="shared" si="16"/>
        <v>0.900598560100347</v>
      </c>
      <c r="CY19" s="112">
        <f t="shared" si="16"/>
        <v>0.900598560100347</v>
      </c>
      <c r="CZ19" s="112">
        <f t="shared" si="16"/>
        <v>0.900598560100347</v>
      </c>
      <c r="DA19" s="112">
        <f t="shared" si="16"/>
        <v>0.900598560100347</v>
      </c>
      <c r="DB19" s="112">
        <f t="shared" si="16"/>
        <v>0.900598560100347</v>
      </c>
      <c r="DC19" s="112">
        <f t="shared" si="16"/>
        <v>0.900598560100347</v>
      </c>
      <c r="DD19" s="112">
        <f t="shared" si="16"/>
        <v>0.900598560100347</v>
      </c>
      <c r="DE19" s="112">
        <f t="shared" si="16"/>
        <v>0.900598560100347</v>
      </c>
      <c r="DF19" s="112">
        <f t="shared" si="16"/>
        <v>0.900598560100347</v>
      </c>
      <c r="DG19" s="112">
        <f t="shared" si="16"/>
        <v>0.900598560100347</v>
      </c>
      <c r="DH19" s="112">
        <f t="shared" si="16"/>
        <v>0.900598560100347</v>
      </c>
      <c r="DI19" s="112">
        <f t="shared" si="16"/>
        <v>0.900598560100347</v>
      </c>
      <c r="DJ19" s="112">
        <f t="shared" si="16"/>
        <v>0.900598560100347</v>
      </c>
      <c r="DK19" s="112">
        <f t="shared" si="16"/>
        <v>0.900598560100347</v>
      </c>
      <c r="DL19" s="112">
        <f t="shared" si="16"/>
        <v>0.900598560100347</v>
      </c>
      <c r="DM19" s="112">
        <f t="shared" si="16"/>
        <v>0.900598560100347</v>
      </c>
      <c r="DN19" s="112">
        <f t="shared" si="16"/>
        <v>0.900598560100347</v>
      </c>
      <c r="DO19" s="112">
        <f t="shared" si="16"/>
        <v>0.900598560100347</v>
      </c>
      <c r="DP19" s="112">
        <f t="shared" si="16"/>
        <v>0.900598560100347</v>
      </c>
      <c r="DQ19" s="112">
        <f t="shared" si="16"/>
        <v>0.900598560100347</v>
      </c>
      <c r="DR19" s="112">
        <f t="shared" si="16"/>
        <v>0.900598560100347</v>
      </c>
      <c r="DS19" s="112">
        <f t="shared" si="16"/>
        <v>0.900598560100347</v>
      </c>
      <c r="DT19" s="112">
        <f t="shared" si="16"/>
        <v>0.900598560100347</v>
      </c>
      <c r="DU19" s="112">
        <f t="shared" si="16"/>
        <v>0.900598560100347</v>
      </c>
      <c r="DV19" s="112">
        <f t="shared" si="16"/>
        <v>0.900598560100347</v>
      </c>
      <c r="DW19" s="112">
        <f t="shared" si="16"/>
        <v>0.900598560100347</v>
      </c>
      <c r="DX19" s="112">
        <f t="shared" si="16"/>
        <v>0.900598560100347</v>
      </c>
      <c r="DY19" s="112">
        <f t="shared" si="16"/>
        <v>0.900598560100347</v>
      </c>
      <c r="DZ19" s="112">
        <f t="shared" si="16"/>
        <v>0.900598560100347</v>
      </c>
      <c r="EA19" s="112">
        <f t="shared" si="16"/>
        <v>0.900598560100347</v>
      </c>
      <c r="EB19" s="112">
        <f t="shared" si="16"/>
        <v>0.900598560100347</v>
      </c>
      <c r="EC19" s="112">
        <f t="shared" ref="EC19:EE19" si="17">EC9/$B$9</f>
        <v>0.900598560100347</v>
      </c>
      <c r="ED19" s="112">
        <f t="shared" si="17"/>
        <v>0.900598560100347</v>
      </c>
      <c r="EE19" s="112">
        <f t="shared" si="17"/>
        <v>0.900598560100347</v>
      </c>
    </row>
    <row r="20" spans="1:135" ht="21" customHeight="1" x14ac:dyDescent="0.2">
      <c r="D20" s="96">
        <f>AVERAGE($D$19:$O$19)</f>
        <v>0.81121612770824159</v>
      </c>
      <c r="E20" s="96">
        <f t="shared" ref="E20:O20" si="18">AVERAGE($D$19:$O$19)</f>
        <v>0.81121612770824159</v>
      </c>
      <c r="F20" s="96">
        <f t="shared" si="18"/>
        <v>0.81121612770824159</v>
      </c>
      <c r="G20" s="96">
        <f t="shared" si="18"/>
        <v>0.81121612770824159</v>
      </c>
      <c r="H20" s="96">
        <f t="shared" si="18"/>
        <v>0.81121612770824159</v>
      </c>
      <c r="I20" s="96">
        <f t="shared" si="18"/>
        <v>0.81121612770824159</v>
      </c>
      <c r="J20" s="96">
        <f t="shared" si="18"/>
        <v>0.81121612770824159</v>
      </c>
      <c r="K20" s="96">
        <f t="shared" si="18"/>
        <v>0.81121612770824159</v>
      </c>
      <c r="L20" s="96">
        <f t="shared" si="18"/>
        <v>0.81121612770824159</v>
      </c>
      <c r="M20" s="96">
        <f t="shared" si="18"/>
        <v>0.81121612770824159</v>
      </c>
      <c r="N20" s="96">
        <f t="shared" si="18"/>
        <v>0.81121612770824159</v>
      </c>
      <c r="O20" s="96">
        <f t="shared" si="18"/>
        <v>0.81121612770824159</v>
      </c>
      <c r="P20" s="96">
        <f>AVERAGE($P$19:$AA$19)</f>
        <v>0.89627449309068341</v>
      </c>
      <c r="Q20" s="96">
        <f t="shared" ref="Q20:AA20" si="19">AVERAGE($P$19:$AA$19)</f>
        <v>0.89627449309068341</v>
      </c>
      <c r="R20" s="96">
        <f t="shared" si="19"/>
        <v>0.89627449309068341</v>
      </c>
      <c r="S20" s="96">
        <f t="shared" si="19"/>
        <v>0.89627449309068341</v>
      </c>
      <c r="T20" s="96">
        <f t="shared" si="19"/>
        <v>0.89627449309068341</v>
      </c>
      <c r="U20" s="96">
        <f t="shared" si="19"/>
        <v>0.89627449309068341</v>
      </c>
      <c r="V20" s="96">
        <f t="shared" si="19"/>
        <v>0.89627449309068341</v>
      </c>
      <c r="W20" s="96">
        <f t="shared" si="19"/>
        <v>0.89627449309068341</v>
      </c>
      <c r="X20" s="96">
        <f t="shared" si="19"/>
        <v>0.89627449309068341</v>
      </c>
      <c r="Y20" s="96">
        <f t="shared" si="19"/>
        <v>0.89627449309068341</v>
      </c>
      <c r="Z20" s="96">
        <f t="shared" si="19"/>
        <v>0.89627449309068341</v>
      </c>
      <c r="AA20" s="96">
        <f t="shared" si="19"/>
        <v>0.89627449309068341</v>
      </c>
      <c r="AB20" s="96">
        <f>AVERAGE($AB$19:$AM$19)</f>
        <v>0.89621466651915016</v>
      </c>
      <c r="AC20" s="96">
        <f t="shared" ref="AC20:AM20" si="20">AVERAGE($AB$19:$AM$19)</f>
        <v>0.89621466651915016</v>
      </c>
      <c r="AD20" s="96">
        <f t="shared" si="20"/>
        <v>0.89621466651915016</v>
      </c>
      <c r="AE20" s="96">
        <f t="shared" si="20"/>
        <v>0.89621466651915016</v>
      </c>
      <c r="AF20" s="96">
        <f t="shared" si="20"/>
        <v>0.89621466651915016</v>
      </c>
      <c r="AG20" s="96">
        <f t="shared" si="20"/>
        <v>0.89621466651915016</v>
      </c>
      <c r="AH20" s="96">
        <f t="shared" si="20"/>
        <v>0.89621466651915016</v>
      </c>
      <c r="AI20" s="96">
        <f t="shared" si="20"/>
        <v>0.89621466651915016</v>
      </c>
      <c r="AJ20" s="96">
        <f t="shared" si="20"/>
        <v>0.89621466651915016</v>
      </c>
      <c r="AK20" s="96">
        <f t="shared" si="20"/>
        <v>0.89621466651915016</v>
      </c>
      <c r="AL20" s="96">
        <f t="shared" si="20"/>
        <v>0.89621466651915016</v>
      </c>
      <c r="AM20" s="96">
        <f t="shared" si="20"/>
        <v>0.89621466651915016</v>
      </c>
      <c r="AN20" s="96">
        <f>AVERAGE($AN$19:$AY$19)</f>
        <v>0.89224538308143109</v>
      </c>
      <c r="AO20" s="96">
        <f t="shared" ref="AO20:AY20" si="21">AVERAGE($AN$19:$AY$19)</f>
        <v>0.89224538308143109</v>
      </c>
      <c r="AP20" s="96">
        <f t="shared" si="21"/>
        <v>0.89224538308143109</v>
      </c>
      <c r="AQ20" s="96">
        <f t="shared" si="21"/>
        <v>0.89224538308143109</v>
      </c>
      <c r="AR20" s="96">
        <f t="shared" si="21"/>
        <v>0.89224538308143109</v>
      </c>
      <c r="AS20" s="96">
        <f t="shared" si="21"/>
        <v>0.89224538308143109</v>
      </c>
      <c r="AT20" s="96">
        <f t="shared" si="21"/>
        <v>0.89224538308143109</v>
      </c>
      <c r="AU20" s="96">
        <f t="shared" si="21"/>
        <v>0.89224538308143109</v>
      </c>
      <c r="AV20" s="96">
        <f t="shared" si="21"/>
        <v>0.89224538308143109</v>
      </c>
      <c r="AW20" s="96">
        <f t="shared" si="21"/>
        <v>0.89224538308143109</v>
      </c>
      <c r="AX20" s="96">
        <f t="shared" si="21"/>
        <v>0.89224538308143109</v>
      </c>
      <c r="AY20" s="96">
        <f t="shared" si="21"/>
        <v>0.89224538308143109</v>
      </c>
      <c r="AZ20" s="96">
        <f>AVERAGE($AZ$19:$BK$19)</f>
        <v>0.88126037349636654</v>
      </c>
      <c r="BA20" s="96">
        <f t="shared" ref="BA20:BK20" si="22">AVERAGE($AZ$19:$BK$19)</f>
        <v>0.88126037349636654</v>
      </c>
      <c r="BB20" s="96">
        <f t="shared" si="22"/>
        <v>0.88126037349636654</v>
      </c>
      <c r="BC20" s="96">
        <f t="shared" si="22"/>
        <v>0.88126037349636654</v>
      </c>
      <c r="BD20" s="96">
        <f t="shared" si="22"/>
        <v>0.88126037349636654</v>
      </c>
      <c r="BE20" s="96">
        <f t="shared" si="22"/>
        <v>0.88126037349636654</v>
      </c>
      <c r="BF20" s="96">
        <f t="shared" si="22"/>
        <v>0.88126037349636654</v>
      </c>
      <c r="BG20" s="96">
        <f t="shared" si="22"/>
        <v>0.88126037349636654</v>
      </c>
      <c r="BH20" s="96">
        <f t="shared" si="22"/>
        <v>0.88126037349636654</v>
      </c>
      <c r="BI20" s="96">
        <f t="shared" si="22"/>
        <v>0.88126037349636654</v>
      </c>
      <c r="BJ20" s="96">
        <f t="shared" si="22"/>
        <v>0.88126037349636654</v>
      </c>
      <c r="BK20" s="96">
        <f t="shared" si="22"/>
        <v>0.88126037349636654</v>
      </c>
      <c r="BL20" s="96">
        <f>AVERAGE($BL$19:$BW$19)</f>
        <v>0.88348404518333423</v>
      </c>
      <c r="BM20" s="96">
        <f t="shared" ref="BM20:BW20" si="23">AVERAGE($BL$19:$BW$19)</f>
        <v>0.88348404518333423</v>
      </c>
      <c r="BN20" s="96">
        <f t="shared" si="23"/>
        <v>0.88348404518333423</v>
      </c>
      <c r="BO20" s="96">
        <f t="shared" si="23"/>
        <v>0.88348404518333423</v>
      </c>
      <c r="BP20" s="96">
        <f t="shared" si="23"/>
        <v>0.88348404518333423</v>
      </c>
      <c r="BQ20" s="96">
        <f t="shared" si="23"/>
        <v>0.88348404518333423</v>
      </c>
      <c r="BR20" s="96">
        <f t="shared" si="23"/>
        <v>0.88348404518333423</v>
      </c>
      <c r="BS20" s="96">
        <f t="shared" si="23"/>
        <v>0.88348404518333423</v>
      </c>
      <c r="BT20" s="96">
        <f t="shared" si="23"/>
        <v>0.88348404518333423</v>
      </c>
      <c r="BU20" s="96">
        <f t="shared" si="23"/>
        <v>0.88348404518333423</v>
      </c>
      <c r="BV20" s="96">
        <f t="shared" si="23"/>
        <v>0.88348404518333423</v>
      </c>
      <c r="BW20" s="96">
        <f t="shared" si="23"/>
        <v>0.88348404518333423</v>
      </c>
      <c r="BX20" s="96">
        <f>AVERAGE($BX$19:$CI$19)</f>
        <v>0.89473902374484471</v>
      </c>
      <c r="BY20" s="96">
        <f t="shared" ref="BY20:CI20" si="24">AVERAGE($BX$19:$CI$19)</f>
        <v>0.89473902374484471</v>
      </c>
      <c r="BZ20" s="96">
        <f t="shared" si="24"/>
        <v>0.89473902374484471</v>
      </c>
      <c r="CA20" s="96">
        <f t="shared" si="24"/>
        <v>0.89473902374484471</v>
      </c>
      <c r="CB20" s="96">
        <f t="shared" si="24"/>
        <v>0.89473902374484471</v>
      </c>
      <c r="CC20" s="96">
        <f t="shared" si="24"/>
        <v>0.89473902374484471</v>
      </c>
      <c r="CD20" s="96">
        <f t="shared" si="24"/>
        <v>0.89473902374484471</v>
      </c>
      <c r="CE20" s="96">
        <f t="shared" si="24"/>
        <v>0.89473902374484471</v>
      </c>
      <c r="CF20" s="96">
        <f t="shared" si="24"/>
        <v>0.89473902374484471</v>
      </c>
      <c r="CG20" s="96">
        <f t="shared" si="24"/>
        <v>0.89473902374484471</v>
      </c>
      <c r="CH20" s="96">
        <f t="shared" si="24"/>
        <v>0.89473902374484471</v>
      </c>
      <c r="CI20" s="96">
        <f t="shared" si="24"/>
        <v>0.89473902374484471</v>
      </c>
      <c r="CJ20" s="96">
        <f>AVERAGE($CJ$19:$CU$19)</f>
        <v>0.88880335140849887</v>
      </c>
      <c r="CK20" s="96">
        <f t="shared" ref="CK20:CU20" si="25">AVERAGE($CJ$19:$CU$19)</f>
        <v>0.88880335140849887</v>
      </c>
      <c r="CL20" s="96">
        <f t="shared" si="25"/>
        <v>0.88880335140849887</v>
      </c>
      <c r="CM20" s="96">
        <f t="shared" si="25"/>
        <v>0.88880335140849887</v>
      </c>
      <c r="CN20" s="96">
        <f t="shared" si="25"/>
        <v>0.88880335140849887</v>
      </c>
      <c r="CO20" s="96">
        <f t="shared" si="25"/>
        <v>0.88880335140849887</v>
      </c>
      <c r="CP20" s="96">
        <f t="shared" si="25"/>
        <v>0.88880335140849887</v>
      </c>
      <c r="CQ20" s="96">
        <f t="shared" si="25"/>
        <v>0.88880335140849887</v>
      </c>
      <c r="CR20" s="96">
        <f t="shared" si="25"/>
        <v>0.88880335140849887</v>
      </c>
      <c r="CS20" s="96">
        <f t="shared" si="25"/>
        <v>0.88880335140849887</v>
      </c>
      <c r="CT20" s="96">
        <f t="shared" si="25"/>
        <v>0.88880335140849887</v>
      </c>
      <c r="CU20" s="96">
        <f t="shared" si="25"/>
        <v>0.88880335140849887</v>
      </c>
      <c r="CV20" s="96">
        <f>AVERAGE($CV$19:$DG$19)</f>
        <v>0.900598560100347</v>
      </c>
      <c r="CW20" s="96">
        <f t="shared" ref="CW20:DG20" si="26">AVERAGE($CV$19:$DG$19)</f>
        <v>0.900598560100347</v>
      </c>
      <c r="CX20" s="96">
        <f t="shared" si="26"/>
        <v>0.900598560100347</v>
      </c>
      <c r="CY20" s="96">
        <f t="shared" si="26"/>
        <v>0.900598560100347</v>
      </c>
      <c r="CZ20" s="96">
        <f t="shared" si="26"/>
        <v>0.900598560100347</v>
      </c>
      <c r="DA20" s="96">
        <f t="shared" si="26"/>
        <v>0.900598560100347</v>
      </c>
      <c r="DB20" s="96">
        <f t="shared" si="26"/>
        <v>0.900598560100347</v>
      </c>
      <c r="DC20" s="96">
        <f t="shared" si="26"/>
        <v>0.900598560100347</v>
      </c>
      <c r="DD20" s="96">
        <f t="shared" si="26"/>
        <v>0.900598560100347</v>
      </c>
      <c r="DE20" s="96">
        <f t="shared" si="26"/>
        <v>0.900598560100347</v>
      </c>
      <c r="DF20" s="96">
        <f t="shared" si="26"/>
        <v>0.900598560100347</v>
      </c>
      <c r="DG20" s="96">
        <f t="shared" si="26"/>
        <v>0.900598560100347</v>
      </c>
      <c r="DH20" s="96">
        <f>AVERAGE($DH$19:$DS$19)</f>
        <v>0.900598560100347</v>
      </c>
      <c r="DI20" s="96">
        <f t="shared" ref="DI20:DS20" si="27">AVERAGE($DH$19:$DS$19)</f>
        <v>0.900598560100347</v>
      </c>
      <c r="DJ20" s="96">
        <f t="shared" si="27"/>
        <v>0.900598560100347</v>
      </c>
      <c r="DK20" s="96">
        <f t="shared" si="27"/>
        <v>0.900598560100347</v>
      </c>
      <c r="DL20" s="96">
        <f t="shared" si="27"/>
        <v>0.900598560100347</v>
      </c>
      <c r="DM20" s="96">
        <f t="shared" si="27"/>
        <v>0.900598560100347</v>
      </c>
      <c r="DN20" s="96">
        <f t="shared" si="27"/>
        <v>0.900598560100347</v>
      </c>
      <c r="DO20" s="96">
        <f t="shared" si="27"/>
        <v>0.900598560100347</v>
      </c>
      <c r="DP20" s="96">
        <f t="shared" si="27"/>
        <v>0.900598560100347</v>
      </c>
      <c r="DQ20" s="96">
        <f t="shared" si="27"/>
        <v>0.900598560100347</v>
      </c>
      <c r="DR20" s="96">
        <f t="shared" si="27"/>
        <v>0.900598560100347</v>
      </c>
      <c r="DS20" s="96">
        <f t="shared" si="27"/>
        <v>0.900598560100347</v>
      </c>
      <c r="DT20" s="96">
        <f>AVERAGE($DT$19:$EE$19)</f>
        <v>0.900598560100347</v>
      </c>
      <c r="DU20" s="96">
        <f t="shared" ref="DU20:EE20" si="28">AVERAGE($DT$19:$EE$19)</f>
        <v>0.900598560100347</v>
      </c>
      <c r="DV20" s="96">
        <f t="shared" si="28"/>
        <v>0.900598560100347</v>
      </c>
      <c r="DW20" s="96">
        <f t="shared" si="28"/>
        <v>0.900598560100347</v>
      </c>
      <c r="DX20" s="96">
        <f t="shared" si="28"/>
        <v>0.900598560100347</v>
      </c>
      <c r="DY20" s="96">
        <f t="shared" si="28"/>
        <v>0.900598560100347</v>
      </c>
      <c r="DZ20" s="96">
        <f t="shared" si="28"/>
        <v>0.900598560100347</v>
      </c>
      <c r="EA20" s="96">
        <f t="shared" si="28"/>
        <v>0.900598560100347</v>
      </c>
      <c r="EB20" s="96">
        <f t="shared" si="28"/>
        <v>0.900598560100347</v>
      </c>
      <c r="EC20" s="96">
        <f t="shared" si="28"/>
        <v>0.900598560100347</v>
      </c>
      <c r="ED20" s="96">
        <f t="shared" si="28"/>
        <v>0.900598560100347</v>
      </c>
      <c r="EE20" s="96">
        <f t="shared" si="28"/>
        <v>0.900598560100347</v>
      </c>
    </row>
    <row r="30" spans="1:135" x14ac:dyDescent="0.2">
      <c r="A30" s="113"/>
      <c r="B30" s="113"/>
      <c r="C30" s="114"/>
      <c r="D30" s="113"/>
      <c r="E30" s="113"/>
      <c r="F30" s="113"/>
      <c r="G30" s="113"/>
      <c r="H30" s="113"/>
      <c r="I30" s="113"/>
      <c r="J30" s="113"/>
      <c r="K30" s="113"/>
      <c r="L30" s="113"/>
      <c r="M30" s="113"/>
      <c r="N30" s="113"/>
      <c r="O30" s="113"/>
      <c r="P30" s="113"/>
      <c r="Q30" s="113"/>
      <c r="R30" s="113"/>
      <c r="S30" s="113"/>
      <c r="T30" s="113"/>
      <c r="U30" s="113"/>
      <c r="V30" s="113"/>
      <c r="W30" s="113"/>
      <c r="X30" s="113"/>
      <c r="Y30" s="113"/>
      <c r="Z30" s="113"/>
      <c r="AA30" s="113"/>
      <c r="AB30" s="113"/>
      <c r="AC30" s="113"/>
      <c r="AD30" s="113"/>
      <c r="AE30" s="113"/>
      <c r="AF30" s="113"/>
      <c r="AG30" s="113"/>
      <c r="AH30" s="113"/>
      <c r="AI30" s="113"/>
      <c r="AJ30" s="113"/>
      <c r="AK30" s="113"/>
      <c r="AL30" s="113"/>
      <c r="AM30" s="113"/>
      <c r="AN30" s="113"/>
      <c r="AO30" s="113"/>
      <c r="AP30" s="113"/>
      <c r="AQ30" s="113"/>
      <c r="AR30" s="113"/>
      <c r="AS30" s="113"/>
      <c r="AT30" s="113"/>
      <c r="AU30" s="113"/>
      <c r="AV30" s="113"/>
      <c r="AW30" s="113"/>
      <c r="AX30" s="113"/>
      <c r="AY30" s="113"/>
      <c r="AZ30" s="113"/>
      <c r="BA30" s="113"/>
      <c r="BB30" s="113"/>
      <c r="BC30" s="113"/>
      <c r="BD30" s="113"/>
      <c r="BE30" s="113"/>
      <c r="BF30" s="113"/>
      <c r="BG30" s="113"/>
      <c r="BH30" s="113"/>
      <c r="BI30" s="113"/>
      <c r="BJ30" s="113"/>
    </row>
    <row r="31" spans="1:135" x14ac:dyDescent="0.2">
      <c r="A31" s="113"/>
      <c r="B31" s="113"/>
      <c r="C31" s="114"/>
      <c r="D31" s="113"/>
      <c r="E31" s="113"/>
      <c r="F31" s="113"/>
      <c r="G31" s="113"/>
      <c r="H31" s="113"/>
      <c r="I31" s="113"/>
      <c r="J31" s="113"/>
      <c r="K31" s="113"/>
      <c r="L31" s="113"/>
      <c r="M31" s="113"/>
      <c r="N31" s="113"/>
      <c r="O31" s="113"/>
      <c r="P31" s="113"/>
      <c r="Q31" s="113"/>
      <c r="R31" s="113"/>
      <c r="S31" s="113"/>
      <c r="T31" s="113"/>
      <c r="U31" s="113"/>
      <c r="V31" s="113"/>
      <c r="W31" s="113"/>
      <c r="X31" s="113"/>
      <c r="Y31" s="113"/>
      <c r="Z31" s="113"/>
      <c r="AA31" s="113"/>
      <c r="AB31" s="113"/>
      <c r="AC31" s="113"/>
      <c r="AD31" s="113"/>
      <c r="AE31" s="113"/>
      <c r="AF31" s="113"/>
      <c r="AG31" s="113"/>
      <c r="AH31" s="113"/>
      <c r="AI31" s="113"/>
      <c r="AJ31" s="113"/>
      <c r="AK31" s="113"/>
      <c r="AL31" s="113"/>
      <c r="AM31" s="113"/>
      <c r="AN31" s="113"/>
      <c r="AO31" s="113"/>
      <c r="AP31" s="113"/>
      <c r="AQ31" s="113"/>
      <c r="AR31" s="113"/>
      <c r="AS31" s="113"/>
      <c r="AT31" s="113"/>
      <c r="AU31" s="113"/>
      <c r="AV31" s="113"/>
      <c r="AW31" s="113"/>
      <c r="AX31" s="113"/>
      <c r="AY31" s="113"/>
      <c r="AZ31" s="113"/>
      <c r="BA31" s="113"/>
      <c r="BB31" s="113"/>
      <c r="BC31" s="113"/>
      <c r="BD31" s="113"/>
      <c r="BE31" s="113"/>
      <c r="BF31" s="113"/>
      <c r="BG31" s="113"/>
      <c r="BH31" s="113"/>
      <c r="BI31" s="113"/>
      <c r="BJ31" s="113"/>
    </row>
    <row r="32" spans="1:135" x14ac:dyDescent="0.2">
      <c r="A32" s="113"/>
      <c r="B32" s="113"/>
      <c r="C32" s="114"/>
      <c r="D32" s="113"/>
      <c r="E32" s="113"/>
      <c r="F32" s="113"/>
      <c r="G32" s="113"/>
      <c r="H32" s="113"/>
      <c r="I32" s="113"/>
      <c r="J32" s="113"/>
      <c r="K32" s="113"/>
      <c r="L32" s="113"/>
      <c r="M32" s="113"/>
      <c r="N32" s="113"/>
      <c r="O32" s="113"/>
      <c r="P32" s="113"/>
      <c r="Q32" s="113"/>
      <c r="R32" s="113"/>
      <c r="S32" s="113"/>
      <c r="T32" s="113"/>
      <c r="U32" s="113"/>
      <c r="V32" s="113"/>
      <c r="W32" s="113"/>
      <c r="X32" s="113"/>
      <c r="Y32" s="113"/>
      <c r="Z32" s="113"/>
      <c r="AA32" s="113"/>
      <c r="AB32" s="113"/>
      <c r="AC32" s="113"/>
      <c r="AD32" s="113"/>
      <c r="AE32" s="113"/>
      <c r="AF32" s="113"/>
      <c r="AG32" s="113"/>
      <c r="AH32" s="113"/>
      <c r="AI32" s="113"/>
      <c r="AJ32" s="113"/>
      <c r="AK32" s="113"/>
      <c r="AL32" s="113"/>
      <c r="AM32" s="113"/>
      <c r="AN32" s="113"/>
      <c r="AO32" s="113"/>
      <c r="AP32" s="113"/>
      <c r="AQ32" s="113"/>
      <c r="AR32" s="113"/>
      <c r="AS32" s="113"/>
      <c r="AT32" s="113"/>
      <c r="AU32" s="113"/>
      <c r="AV32" s="113"/>
      <c r="AW32" s="113"/>
      <c r="AX32" s="113"/>
      <c r="AY32" s="113"/>
      <c r="AZ32" s="113"/>
      <c r="BA32" s="113"/>
      <c r="BB32" s="113"/>
      <c r="BC32" s="113"/>
      <c r="BD32" s="113"/>
      <c r="BE32" s="113"/>
      <c r="BF32" s="113"/>
      <c r="BG32" s="113"/>
      <c r="BH32" s="113"/>
      <c r="BI32" s="113"/>
      <c r="BJ32" s="113"/>
    </row>
    <row r="33" spans="1:62" x14ac:dyDescent="0.2">
      <c r="A33" s="113"/>
      <c r="B33" s="113"/>
      <c r="C33" s="114"/>
      <c r="D33" s="113"/>
      <c r="E33" s="113"/>
      <c r="F33" s="113"/>
      <c r="G33" s="113"/>
      <c r="H33" s="113"/>
      <c r="I33" s="113"/>
      <c r="J33" s="113"/>
      <c r="K33" s="113"/>
      <c r="L33" s="113"/>
      <c r="M33" s="113"/>
      <c r="N33" s="113"/>
      <c r="O33" s="113"/>
      <c r="P33" s="113"/>
      <c r="Q33" s="113"/>
      <c r="R33" s="113"/>
      <c r="S33" s="113"/>
      <c r="T33" s="113"/>
      <c r="U33" s="113"/>
      <c r="V33" s="113"/>
      <c r="W33" s="113"/>
      <c r="X33" s="113"/>
      <c r="Y33" s="113"/>
      <c r="Z33" s="113"/>
      <c r="AA33" s="113"/>
      <c r="AB33" s="113"/>
      <c r="AC33" s="113"/>
      <c r="AD33" s="113"/>
      <c r="AE33" s="113"/>
      <c r="AF33" s="113"/>
      <c r="AG33" s="113"/>
      <c r="AH33" s="113"/>
      <c r="AI33" s="113"/>
      <c r="AJ33" s="113"/>
      <c r="AK33" s="113"/>
      <c r="AL33" s="113"/>
      <c r="AM33" s="113"/>
      <c r="AN33" s="113"/>
      <c r="AO33" s="113"/>
      <c r="AP33" s="113"/>
      <c r="AQ33" s="113"/>
      <c r="AR33" s="113"/>
      <c r="AS33" s="113"/>
      <c r="AT33" s="113"/>
      <c r="AU33" s="113"/>
      <c r="AV33" s="113"/>
      <c r="AW33" s="113"/>
      <c r="AX33" s="113"/>
      <c r="AY33" s="113"/>
      <c r="AZ33" s="113"/>
      <c r="BA33" s="113"/>
      <c r="BB33" s="113"/>
      <c r="BC33" s="113"/>
      <c r="BD33" s="113"/>
      <c r="BE33" s="113"/>
      <c r="BF33" s="113"/>
      <c r="BG33" s="113"/>
      <c r="BH33" s="113"/>
      <c r="BI33" s="113"/>
      <c r="BJ33" s="113"/>
    </row>
    <row r="34" spans="1:62" x14ac:dyDescent="0.2">
      <c r="A34" s="113"/>
      <c r="B34" s="113"/>
      <c r="C34" s="114"/>
      <c r="D34" s="113"/>
      <c r="E34" s="113"/>
      <c r="F34" s="113"/>
      <c r="G34" s="113"/>
      <c r="H34" s="113"/>
      <c r="I34" s="113"/>
      <c r="J34" s="113"/>
      <c r="K34" s="113"/>
      <c r="L34" s="113"/>
      <c r="M34" s="113"/>
      <c r="N34" s="113"/>
      <c r="O34" s="113"/>
      <c r="P34" s="113"/>
      <c r="Q34" s="113"/>
      <c r="R34" s="113"/>
      <c r="S34" s="113"/>
      <c r="T34" s="113"/>
      <c r="U34" s="113"/>
      <c r="V34" s="113"/>
      <c r="W34" s="113"/>
      <c r="X34" s="113"/>
      <c r="Y34" s="113"/>
      <c r="Z34" s="113"/>
      <c r="AA34" s="113"/>
      <c r="AB34" s="113"/>
      <c r="AC34" s="113"/>
      <c r="AD34" s="113"/>
      <c r="AE34" s="113"/>
      <c r="AF34" s="113"/>
      <c r="AG34" s="113"/>
      <c r="AH34" s="113"/>
      <c r="AI34" s="113"/>
      <c r="AJ34" s="113"/>
      <c r="AK34" s="113"/>
      <c r="AL34" s="113"/>
      <c r="AM34" s="113"/>
      <c r="AN34" s="113"/>
      <c r="AO34" s="113"/>
      <c r="AP34" s="113"/>
      <c r="AQ34" s="113"/>
      <c r="AR34" s="113"/>
      <c r="AS34" s="113"/>
      <c r="AT34" s="113"/>
      <c r="AU34" s="113"/>
      <c r="AV34" s="113"/>
      <c r="AW34" s="113"/>
      <c r="AX34" s="113"/>
      <c r="AY34" s="113"/>
      <c r="AZ34" s="113"/>
      <c r="BA34" s="113"/>
      <c r="BB34" s="113"/>
      <c r="BC34" s="113"/>
      <c r="BD34" s="113"/>
      <c r="BE34" s="113"/>
      <c r="BF34" s="113"/>
      <c r="BG34" s="113"/>
      <c r="BH34" s="113"/>
      <c r="BI34" s="113"/>
      <c r="BJ34" s="113"/>
    </row>
    <row r="35" spans="1:62" x14ac:dyDescent="0.2">
      <c r="A35" s="113"/>
      <c r="B35" s="113"/>
      <c r="C35" s="114"/>
      <c r="D35" s="113"/>
      <c r="E35" s="113"/>
      <c r="F35" s="113"/>
      <c r="G35" s="113"/>
      <c r="H35" s="113"/>
      <c r="I35" s="113"/>
      <c r="J35" s="113"/>
      <c r="K35" s="113"/>
      <c r="L35" s="113"/>
      <c r="M35" s="113"/>
      <c r="N35" s="113"/>
      <c r="O35" s="113"/>
      <c r="P35" s="113"/>
      <c r="Q35" s="113"/>
      <c r="R35" s="113"/>
      <c r="S35" s="113"/>
      <c r="T35" s="113"/>
      <c r="U35" s="113"/>
      <c r="V35" s="113"/>
      <c r="W35" s="113"/>
      <c r="X35" s="113"/>
      <c r="Y35" s="113"/>
      <c r="Z35" s="113"/>
      <c r="AA35" s="113"/>
      <c r="AB35" s="113"/>
      <c r="AC35" s="113"/>
      <c r="AD35" s="113"/>
      <c r="AE35" s="113"/>
      <c r="AF35" s="113"/>
      <c r="AG35" s="113"/>
      <c r="AH35" s="113"/>
      <c r="AI35" s="113"/>
      <c r="AJ35" s="113"/>
      <c r="AK35" s="113"/>
      <c r="AL35" s="113"/>
      <c r="AM35" s="113"/>
      <c r="AN35" s="113"/>
      <c r="AO35" s="113"/>
      <c r="AP35" s="113"/>
      <c r="AQ35" s="113"/>
      <c r="AR35" s="113"/>
      <c r="AS35" s="113"/>
      <c r="AT35" s="113"/>
      <c r="AU35" s="113"/>
      <c r="AV35" s="113"/>
      <c r="AW35" s="113"/>
      <c r="AX35" s="113"/>
      <c r="AY35" s="113"/>
      <c r="AZ35" s="113"/>
      <c r="BA35" s="113"/>
      <c r="BB35" s="113"/>
      <c r="BC35" s="113"/>
      <c r="BD35" s="113"/>
      <c r="BE35" s="113"/>
      <c r="BF35" s="113"/>
      <c r="BG35" s="113"/>
      <c r="BH35" s="113"/>
      <c r="BI35" s="113"/>
      <c r="BJ35" s="113"/>
    </row>
    <row r="36" spans="1:62" x14ac:dyDescent="0.2">
      <c r="A36" s="113"/>
      <c r="B36" s="113"/>
      <c r="C36" s="114"/>
      <c r="D36" s="113"/>
      <c r="E36" s="113"/>
      <c r="F36" s="113"/>
      <c r="G36" s="113"/>
      <c r="H36" s="113"/>
      <c r="I36" s="113"/>
      <c r="J36" s="113"/>
      <c r="K36" s="113"/>
      <c r="L36" s="113"/>
      <c r="M36" s="113"/>
      <c r="N36" s="113"/>
      <c r="O36" s="113"/>
      <c r="P36" s="113"/>
      <c r="Q36" s="113"/>
      <c r="R36" s="113"/>
      <c r="S36" s="113"/>
      <c r="T36" s="113"/>
      <c r="U36" s="113"/>
      <c r="V36" s="113"/>
      <c r="W36" s="113"/>
      <c r="X36" s="113"/>
      <c r="Y36" s="113"/>
      <c r="Z36" s="113"/>
      <c r="AA36" s="113"/>
      <c r="AB36" s="113"/>
      <c r="AC36" s="113"/>
      <c r="AD36" s="113"/>
      <c r="AE36" s="113"/>
      <c r="AF36" s="113"/>
      <c r="AG36" s="113"/>
      <c r="AH36" s="113"/>
      <c r="AI36" s="113"/>
      <c r="AJ36" s="113"/>
      <c r="AK36" s="113"/>
      <c r="AL36" s="113"/>
      <c r="AM36" s="113"/>
      <c r="AN36" s="113"/>
      <c r="AO36" s="113"/>
      <c r="AP36" s="113"/>
      <c r="AQ36" s="113"/>
      <c r="AR36" s="113"/>
      <c r="AS36" s="113"/>
      <c r="AT36" s="113"/>
      <c r="AU36" s="113"/>
      <c r="AV36" s="113"/>
      <c r="AW36" s="113"/>
      <c r="AX36" s="113"/>
      <c r="AY36" s="113"/>
      <c r="AZ36" s="113"/>
      <c r="BA36" s="113"/>
      <c r="BB36" s="113"/>
      <c r="BC36" s="113"/>
      <c r="BD36" s="113"/>
      <c r="BE36" s="113"/>
      <c r="BF36" s="113"/>
      <c r="BG36" s="113"/>
      <c r="BH36" s="113"/>
      <c r="BI36" s="113"/>
      <c r="BJ36" s="113"/>
    </row>
    <row r="37" spans="1:62" x14ac:dyDescent="0.2">
      <c r="A37" s="113"/>
      <c r="B37" s="113"/>
      <c r="C37" s="114"/>
      <c r="D37" s="113"/>
      <c r="E37" s="113"/>
      <c r="F37" s="113"/>
      <c r="G37" s="113"/>
      <c r="H37" s="113"/>
      <c r="I37" s="113"/>
      <c r="J37" s="113"/>
      <c r="K37" s="113"/>
      <c r="L37" s="113"/>
      <c r="M37" s="113"/>
      <c r="N37" s="113"/>
      <c r="O37" s="113"/>
      <c r="P37" s="113"/>
      <c r="Q37" s="113"/>
      <c r="R37" s="113"/>
      <c r="S37" s="113"/>
      <c r="T37" s="113"/>
      <c r="U37" s="113"/>
      <c r="V37" s="113"/>
      <c r="W37" s="113"/>
      <c r="X37" s="113"/>
      <c r="Y37" s="113"/>
      <c r="Z37" s="113"/>
      <c r="AA37" s="113"/>
      <c r="AB37" s="113"/>
      <c r="AC37" s="113"/>
      <c r="AD37" s="113"/>
      <c r="AE37" s="113"/>
      <c r="AF37" s="113"/>
      <c r="AG37" s="113"/>
      <c r="AH37" s="113"/>
      <c r="AI37" s="113"/>
      <c r="AJ37" s="113"/>
      <c r="AK37" s="113"/>
      <c r="AL37" s="113"/>
      <c r="AM37" s="113"/>
      <c r="AN37" s="113"/>
      <c r="AO37" s="113"/>
      <c r="AP37" s="113"/>
      <c r="AQ37" s="113"/>
      <c r="AR37" s="113"/>
      <c r="AS37" s="113"/>
      <c r="AT37" s="113"/>
      <c r="AU37" s="113"/>
      <c r="AV37" s="113"/>
      <c r="AW37" s="113"/>
      <c r="AX37" s="113"/>
      <c r="AY37" s="113"/>
      <c r="AZ37" s="113"/>
      <c r="BA37" s="113"/>
      <c r="BB37" s="113"/>
      <c r="BC37" s="113"/>
      <c r="BD37" s="113"/>
      <c r="BE37" s="113"/>
      <c r="BF37" s="113"/>
      <c r="BG37" s="113"/>
      <c r="BH37" s="113"/>
      <c r="BI37" s="113"/>
      <c r="BJ37" s="113"/>
    </row>
    <row r="38" spans="1:62" x14ac:dyDescent="0.2">
      <c r="A38" s="113"/>
      <c r="B38" s="113"/>
      <c r="C38" s="114"/>
      <c r="D38" s="113"/>
      <c r="E38" s="113"/>
      <c r="F38" s="113"/>
      <c r="G38" s="113"/>
      <c r="H38" s="113"/>
      <c r="I38" s="113"/>
      <c r="J38" s="113"/>
      <c r="K38" s="113"/>
      <c r="L38" s="113"/>
      <c r="M38" s="113"/>
      <c r="N38" s="113"/>
      <c r="O38" s="113"/>
      <c r="P38" s="113"/>
      <c r="Q38" s="113"/>
      <c r="R38" s="113"/>
      <c r="S38" s="113"/>
      <c r="T38" s="113"/>
      <c r="U38" s="113"/>
      <c r="V38" s="113"/>
      <c r="W38" s="113"/>
      <c r="X38" s="113"/>
      <c r="Y38" s="113"/>
      <c r="Z38" s="113"/>
      <c r="AA38" s="113"/>
      <c r="AB38" s="113"/>
      <c r="AC38" s="113"/>
      <c r="AD38" s="113"/>
      <c r="AE38" s="113"/>
      <c r="AF38" s="113"/>
      <c r="AG38" s="113"/>
      <c r="AH38" s="113"/>
      <c r="AI38" s="113"/>
      <c r="AJ38" s="113"/>
      <c r="AK38" s="113"/>
      <c r="AL38" s="113"/>
      <c r="AM38" s="113"/>
      <c r="AN38" s="113"/>
      <c r="AO38" s="113"/>
      <c r="AP38" s="113"/>
      <c r="AQ38" s="113"/>
      <c r="AR38" s="113"/>
      <c r="AS38" s="113"/>
      <c r="AT38" s="113"/>
      <c r="AU38" s="113"/>
      <c r="AV38" s="113"/>
      <c r="AW38" s="113"/>
      <c r="AX38" s="113"/>
      <c r="AY38" s="113"/>
      <c r="AZ38" s="113"/>
      <c r="BA38" s="113"/>
      <c r="BB38" s="113"/>
      <c r="BC38" s="113"/>
      <c r="BD38" s="113"/>
      <c r="BE38" s="113"/>
      <c r="BF38" s="113"/>
      <c r="BG38" s="113"/>
      <c r="BH38" s="113"/>
      <c r="BI38" s="113"/>
      <c r="BJ38" s="113"/>
    </row>
    <row r="39" spans="1:62" x14ac:dyDescent="0.2">
      <c r="A39" s="113"/>
      <c r="B39" s="113"/>
      <c r="C39" s="114"/>
      <c r="D39" s="113"/>
      <c r="E39" s="113"/>
      <c r="F39" s="113"/>
      <c r="G39" s="113"/>
      <c r="H39" s="113"/>
      <c r="I39" s="113"/>
      <c r="J39" s="113"/>
      <c r="K39" s="113"/>
      <c r="L39" s="113"/>
      <c r="M39" s="113"/>
      <c r="N39" s="113"/>
      <c r="O39" s="113"/>
      <c r="P39" s="113"/>
      <c r="Q39" s="113"/>
      <c r="R39" s="113"/>
      <c r="S39" s="113"/>
      <c r="T39" s="113"/>
      <c r="U39" s="113"/>
      <c r="V39" s="113"/>
      <c r="W39" s="113"/>
      <c r="X39" s="113"/>
      <c r="Y39" s="113"/>
      <c r="Z39" s="113"/>
      <c r="AA39" s="113"/>
      <c r="AB39" s="113"/>
      <c r="AC39" s="113"/>
      <c r="AD39" s="113"/>
      <c r="AE39" s="113"/>
      <c r="AF39" s="113"/>
      <c r="AG39" s="113"/>
      <c r="AH39" s="113"/>
      <c r="AI39" s="113"/>
      <c r="AJ39" s="113"/>
      <c r="AK39" s="113"/>
      <c r="AL39" s="113"/>
      <c r="AM39" s="113"/>
      <c r="AN39" s="113"/>
      <c r="AO39" s="113"/>
      <c r="AP39" s="113"/>
      <c r="AQ39" s="113"/>
      <c r="AR39" s="113"/>
      <c r="AS39" s="113"/>
      <c r="AT39" s="113"/>
      <c r="AU39" s="113"/>
      <c r="AV39" s="113"/>
      <c r="AW39" s="113"/>
      <c r="AX39" s="113"/>
      <c r="AY39" s="113"/>
      <c r="AZ39" s="113"/>
      <c r="BA39" s="113"/>
      <c r="BB39" s="113"/>
      <c r="BC39" s="113"/>
      <c r="BD39" s="113"/>
      <c r="BE39" s="113"/>
      <c r="BF39" s="113"/>
      <c r="BG39" s="113"/>
      <c r="BH39" s="113"/>
      <c r="BI39" s="113"/>
      <c r="BJ39" s="113"/>
    </row>
    <row r="40" spans="1:62" x14ac:dyDescent="0.2">
      <c r="A40" s="113"/>
      <c r="B40" s="113"/>
      <c r="C40" s="114"/>
      <c r="D40" s="113"/>
      <c r="E40" s="113"/>
      <c r="F40" s="113"/>
      <c r="G40" s="113"/>
      <c r="H40" s="113"/>
      <c r="I40" s="113"/>
      <c r="J40" s="113"/>
      <c r="K40" s="113"/>
      <c r="L40" s="113"/>
      <c r="M40" s="113"/>
      <c r="N40" s="113"/>
      <c r="O40" s="113"/>
      <c r="P40" s="113"/>
      <c r="Q40" s="113"/>
      <c r="R40" s="113"/>
      <c r="S40" s="113"/>
      <c r="T40" s="113"/>
      <c r="U40" s="113"/>
      <c r="V40" s="113"/>
      <c r="W40" s="113"/>
      <c r="X40" s="113"/>
      <c r="Y40" s="113"/>
      <c r="Z40" s="113"/>
      <c r="AA40" s="113"/>
      <c r="AB40" s="113"/>
      <c r="AC40" s="113"/>
      <c r="AD40" s="113"/>
      <c r="AE40" s="113"/>
      <c r="AF40" s="113"/>
      <c r="AG40" s="113"/>
      <c r="AH40" s="113"/>
      <c r="AI40" s="113"/>
      <c r="AJ40" s="113"/>
      <c r="AK40" s="113"/>
      <c r="AL40" s="113"/>
      <c r="AM40" s="113"/>
      <c r="AN40" s="113"/>
      <c r="AO40" s="113"/>
      <c r="AP40" s="113"/>
      <c r="AQ40" s="113"/>
      <c r="AR40" s="113"/>
      <c r="AS40" s="113"/>
      <c r="AT40" s="113"/>
      <c r="AU40" s="113"/>
      <c r="AV40" s="113"/>
      <c r="AW40" s="113"/>
      <c r="AX40" s="113"/>
      <c r="AY40" s="113"/>
      <c r="AZ40" s="113"/>
      <c r="BA40" s="113"/>
      <c r="BB40" s="113"/>
      <c r="BC40" s="113"/>
      <c r="BD40" s="113"/>
      <c r="BE40" s="113"/>
      <c r="BF40" s="113"/>
      <c r="BG40" s="113"/>
      <c r="BH40" s="113"/>
      <c r="BI40" s="113"/>
      <c r="BJ40" s="113"/>
    </row>
    <row r="41" spans="1:62" x14ac:dyDescent="0.2">
      <c r="A41" s="113"/>
      <c r="B41" s="113"/>
      <c r="C41" s="114"/>
      <c r="D41" s="113"/>
      <c r="E41" s="113"/>
      <c r="F41" s="113"/>
      <c r="G41" s="113"/>
      <c r="H41" s="113"/>
      <c r="I41" s="113"/>
      <c r="J41" s="113"/>
      <c r="K41" s="113"/>
      <c r="L41" s="113"/>
      <c r="M41" s="113"/>
      <c r="N41" s="113"/>
      <c r="O41" s="113"/>
      <c r="P41" s="113"/>
      <c r="Q41" s="113"/>
      <c r="R41" s="113"/>
      <c r="S41" s="113"/>
      <c r="T41" s="113"/>
      <c r="U41" s="113"/>
      <c r="V41" s="113"/>
      <c r="W41" s="113"/>
      <c r="X41" s="113"/>
      <c r="Y41" s="113"/>
      <c r="Z41" s="113"/>
      <c r="AA41" s="113"/>
      <c r="AB41" s="113"/>
      <c r="AC41" s="113"/>
      <c r="AD41" s="113"/>
      <c r="AE41" s="113"/>
      <c r="AF41" s="113"/>
      <c r="AG41" s="113"/>
      <c r="AH41" s="113"/>
      <c r="AI41" s="113"/>
      <c r="AJ41" s="113"/>
      <c r="AK41" s="113"/>
      <c r="AL41" s="113"/>
      <c r="AM41" s="113"/>
      <c r="AN41" s="113"/>
      <c r="AO41" s="113"/>
      <c r="AP41" s="113"/>
      <c r="AQ41" s="113"/>
      <c r="AR41" s="113"/>
      <c r="AS41" s="113"/>
      <c r="AT41" s="113"/>
      <c r="AU41" s="113"/>
      <c r="AV41" s="113"/>
      <c r="AW41" s="113"/>
      <c r="AX41" s="113"/>
      <c r="AY41" s="113"/>
      <c r="AZ41" s="113"/>
      <c r="BA41" s="113"/>
      <c r="BB41" s="113"/>
      <c r="BC41" s="113"/>
      <c r="BD41" s="113"/>
      <c r="BE41" s="113"/>
      <c r="BF41" s="113"/>
      <c r="BG41" s="113"/>
      <c r="BH41" s="113"/>
      <c r="BI41" s="113"/>
      <c r="BJ41" s="113"/>
    </row>
    <row r="42" spans="1:62" x14ac:dyDescent="0.2">
      <c r="A42" s="113"/>
      <c r="B42" s="113"/>
      <c r="C42" s="114"/>
      <c r="D42" s="113"/>
      <c r="E42" s="113"/>
      <c r="F42" s="113"/>
      <c r="G42" s="113"/>
      <c r="H42" s="113"/>
      <c r="I42" s="113"/>
      <c r="J42" s="113"/>
      <c r="K42" s="113"/>
      <c r="L42" s="113"/>
      <c r="M42" s="113"/>
      <c r="N42" s="113"/>
      <c r="O42" s="113"/>
      <c r="P42" s="113"/>
      <c r="Q42" s="113"/>
      <c r="R42" s="113"/>
      <c r="S42" s="113"/>
      <c r="T42" s="113"/>
      <c r="U42" s="113"/>
      <c r="V42" s="113"/>
      <c r="W42" s="113"/>
      <c r="X42" s="113"/>
      <c r="Y42" s="113"/>
      <c r="Z42" s="113"/>
      <c r="AA42" s="113"/>
      <c r="AB42" s="113"/>
      <c r="AC42" s="113"/>
      <c r="AD42" s="113"/>
      <c r="AE42" s="113"/>
      <c r="AF42" s="113"/>
      <c r="AG42" s="113"/>
      <c r="AH42" s="113"/>
      <c r="AI42" s="113"/>
      <c r="AJ42" s="113"/>
      <c r="AK42" s="113"/>
      <c r="AL42" s="113"/>
      <c r="AM42" s="113"/>
      <c r="AN42" s="113"/>
      <c r="AO42" s="113"/>
      <c r="AP42" s="113"/>
      <c r="AQ42" s="113"/>
      <c r="AR42" s="113"/>
      <c r="AS42" s="113"/>
      <c r="AT42" s="113"/>
      <c r="AU42" s="113"/>
      <c r="AV42" s="113"/>
      <c r="AW42" s="113"/>
      <c r="AX42" s="113"/>
      <c r="AY42" s="113"/>
      <c r="AZ42" s="113"/>
      <c r="BA42" s="113"/>
      <c r="BB42" s="113"/>
      <c r="BC42" s="113"/>
      <c r="BD42" s="113"/>
      <c r="BE42" s="113"/>
      <c r="BF42" s="113"/>
      <c r="BG42" s="113"/>
      <c r="BH42" s="113"/>
      <c r="BI42" s="113"/>
      <c r="BJ42" s="113"/>
    </row>
    <row r="43" spans="1:62" x14ac:dyDescent="0.2">
      <c r="A43" s="113"/>
      <c r="B43" s="113"/>
      <c r="C43" s="114"/>
      <c r="D43" s="113"/>
      <c r="E43" s="113"/>
      <c r="F43" s="113"/>
      <c r="G43" s="113"/>
      <c r="H43" s="113"/>
      <c r="I43" s="113"/>
      <c r="J43" s="113"/>
      <c r="K43" s="113"/>
      <c r="L43" s="113"/>
      <c r="M43" s="113"/>
      <c r="N43" s="113"/>
      <c r="O43" s="113"/>
      <c r="P43" s="113"/>
      <c r="Q43" s="113"/>
      <c r="R43" s="113"/>
      <c r="S43" s="113"/>
      <c r="T43" s="113"/>
      <c r="U43" s="113"/>
      <c r="V43" s="113"/>
      <c r="W43" s="113"/>
      <c r="X43" s="113"/>
      <c r="Y43" s="113"/>
      <c r="Z43" s="113"/>
      <c r="AA43" s="113"/>
      <c r="AB43" s="113"/>
      <c r="AC43" s="113"/>
      <c r="AD43" s="113"/>
      <c r="AE43" s="113"/>
      <c r="AF43" s="113"/>
      <c r="AG43" s="113"/>
      <c r="AH43" s="113"/>
      <c r="AI43" s="113"/>
      <c r="AJ43" s="113"/>
      <c r="AK43" s="113"/>
      <c r="AL43" s="113"/>
      <c r="AM43" s="113"/>
      <c r="AN43" s="113"/>
      <c r="AO43" s="113"/>
      <c r="AP43" s="113"/>
      <c r="AQ43" s="113"/>
      <c r="AR43" s="113"/>
      <c r="AS43" s="113"/>
      <c r="AT43" s="113"/>
      <c r="AU43" s="113"/>
      <c r="AV43" s="113"/>
      <c r="AW43" s="113"/>
      <c r="AX43" s="113"/>
      <c r="AY43" s="113"/>
      <c r="AZ43" s="113"/>
      <c r="BA43" s="113"/>
      <c r="BB43" s="113"/>
      <c r="BC43" s="113"/>
      <c r="BD43" s="113"/>
      <c r="BE43" s="113"/>
      <c r="BF43" s="113"/>
      <c r="BG43" s="113"/>
      <c r="BH43" s="113"/>
      <c r="BI43" s="113"/>
      <c r="BJ43" s="113"/>
    </row>
    <row r="44" spans="1:62" x14ac:dyDescent="0.2">
      <c r="A44" s="113"/>
      <c r="B44" s="113"/>
      <c r="C44" s="114"/>
      <c r="D44" s="113"/>
      <c r="E44" s="113"/>
      <c r="F44" s="113"/>
      <c r="G44" s="113"/>
      <c r="H44" s="113"/>
      <c r="I44" s="113"/>
      <c r="J44" s="113"/>
      <c r="K44" s="113"/>
      <c r="L44" s="113"/>
      <c r="M44" s="113"/>
      <c r="N44" s="113"/>
      <c r="O44" s="113"/>
      <c r="P44" s="113"/>
      <c r="Q44" s="113"/>
      <c r="R44" s="113"/>
      <c r="S44" s="113"/>
      <c r="T44" s="113"/>
      <c r="U44" s="113"/>
      <c r="V44" s="113"/>
      <c r="W44" s="113"/>
      <c r="X44" s="113"/>
      <c r="Y44" s="113"/>
      <c r="Z44" s="113"/>
      <c r="AA44" s="113"/>
      <c r="AB44" s="113"/>
      <c r="AC44" s="113"/>
      <c r="AD44" s="113"/>
      <c r="AE44" s="113"/>
      <c r="AF44" s="113"/>
      <c r="AG44" s="113"/>
      <c r="AH44" s="113"/>
      <c r="AI44" s="113"/>
      <c r="AJ44" s="113"/>
      <c r="AK44" s="113"/>
      <c r="AL44" s="113"/>
      <c r="AM44" s="113"/>
      <c r="AN44" s="113"/>
      <c r="AO44" s="113"/>
      <c r="AP44" s="113"/>
      <c r="AQ44" s="113"/>
      <c r="AR44" s="113"/>
      <c r="AS44" s="113"/>
      <c r="AT44" s="113"/>
      <c r="AU44" s="113"/>
      <c r="AV44" s="113"/>
      <c r="AW44" s="113"/>
      <c r="AX44" s="113"/>
      <c r="AY44" s="113"/>
      <c r="AZ44" s="113"/>
      <c r="BA44" s="113"/>
      <c r="BB44" s="113"/>
      <c r="BC44" s="113"/>
      <c r="BD44" s="113"/>
      <c r="BE44" s="113"/>
      <c r="BF44" s="113"/>
      <c r="BG44" s="113"/>
      <c r="BH44" s="113"/>
      <c r="BI44" s="113"/>
      <c r="BJ44" s="113"/>
    </row>
    <row r="45" spans="1:62" x14ac:dyDescent="0.2">
      <c r="A45" s="113"/>
      <c r="B45" s="113"/>
      <c r="C45" s="114"/>
      <c r="D45" s="113"/>
      <c r="E45" s="113"/>
      <c r="F45" s="113"/>
      <c r="G45" s="113"/>
      <c r="H45" s="113"/>
      <c r="I45" s="113"/>
      <c r="J45" s="113"/>
      <c r="K45" s="113"/>
      <c r="L45" s="113"/>
      <c r="M45" s="113"/>
      <c r="N45" s="113"/>
      <c r="O45" s="113"/>
      <c r="P45" s="113"/>
      <c r="Q45" s="113"/>
      <c r="R45" s="113"/>
      <c r="S45" s="113"/>
      <c r="T45" s="113"/>
      <c r="U45" s="113"/>
      <c r="V45" s="113"/>
      <c r="W45" s="113"/>
      <c r="X45" s="113"/>
      <c r="Y45" s="113"/>
      <c r="Z45" s="113"/>
      <c r="AA45" s="113"/>
      <c r="AB45" s="113"/>
      <c r="AC45" s="113"/>
      <c r="AD45" s="113"/>
      <c r="AE45" s="113"/>
      <c r="AF45" s="113"/>
      <c r="AG45" s="113"/>
      <c r="AH45" s="113"/>
      <c r="AI45" s="113"/>
      <c r="AJ45" s="113"/>
      <c r="AK45" s="113"/>
      <c r="AL45" s="113"/>
      <c r="AM45" s="113"/>
      <c r="AN45" s="113"/>
      <c r="AO45" s="113"/>
      <c r="AP45" s="113"/>
      <c r="AQ45" s="113"/>
      <c r="AR45" s="113"/>
      <c r="AS45" s="113"/>
      <c r="AT45" s="113"/>
      <c r="AU45" s="113"/>
      <c r="AV45" s="113"/>
      <c r="AW45" s="113"/>
      <c r="AX45" s="113"/>
      <c r="AY45" s="113"/>
      <c r="AZ45" s="113"/>
      <c r="BA45" s="113"/>
      <c r="BB45" s="113"/>
      <c r="BC45" s="113"/>
      <c r="BD45" s="113"/>
      <c r="BE45" s="113"/>
      <c r="BF45" s="113"/>
      <c r="BG45" s="113"/>
      <c r="BH45" s="113"/>
      <c r="BI45" s="113"/>
      <c r="BJ45" s="113"/>
    </row>
    <row r="46" spans="1:62" x14ac:dyDescent="0.2">
      <c r="A46" s="113"/>
      <c r="B46" s="113"/>
      <c r="C46" s="114"/>
      <c r="D46" s="113"/>
      <c r="E46" s="113"/>
      <c r="F46" s="113"/>
      <c r="G46" s="113"/>
      <c r="H46" s="113"/>
      <c r="I46" s="113"/>
      <c r="J46" s="113"/>
      <c r="K46" s="113"/>
      <c r="L46" s="113"/>
      <c r="M46" s="113"/>
      <c r="N46" s="113"/>
      <c r="O46" s="113"/>
      <c r="P46" s="113"/>
      <c r="Q46" s="113"/>
      <c r="R46" s="113"/>
      <c r="S46" s="113"/>
      <c r="T46" s="113"/>
      <c r="U46" s="113"/>
      <c r="V46" s="113"/>
      <c r="W46" s="113"/>
      <c r="X46" s="113"/>
      <c r="Y46" s="113"/>
      <c r="Z46" s="113"/>
      <c r="AA46" s="113"/>
      <c r="AB46" s="113"/>
      <c r="AC46" s="113"/>
      <c r="AD46" s="113"/>
      <c r="AE46" s="113"/>
      <c r="AF46" s="113"/>
      <c r="AG46" s="113"/>
      <c r="AH46" s="113"/>
      <c r="AI46" s="113"/>
      <c r="AJ46" s="113"/>
      <c r="AK46" s="113"/>
      <c r="AL46" s="113"/>
      <c r="AM46" s="113"/>
      <c r="AN46" s="113"/>
      <c r="AO46" s="113"/>
      <c r="AP46" s="113"/>
      <c r="AQ46" s="113"/>
      <c r="AR46" s="113"/>
      <c r="AS46" s="113"/>
      <c r="AT46" s="113"/>
      <c r="AU46" s="113"/>
      <c r="AV46" s="113"/>
      <c r="AW46" s="113"/>
      <c r="AX46" s="113"/>
      <c r="AY46" s="113"/>
      <c r="AZ46" s="113"/>
      <c r="BA46" s="113"/>
      <c r="BB46" s="113"/>
      <c r="BC46" s="113"/>
      <c r="BD46" s="113"/>
      <c r="BE46" s="113"/>
      <c r="BF46" s="113"/>
      <c r="BG46" s="113"/>
      <c r="BH46" s="113"/>
      <c r="BI46" s="113"/>
      <c r="BJ46" s="113"/>
    </row>
    <row r="47" spans="1:62" x14ac:dyDescent="0.2">
      <c r="A47" s="113"/>
      <c r="B47" s="113"/>
      <c r="C47" s="114"/>
      <c r="D47" s="113"/>
      <c r="E47" s="113"/>
      <c r="F47" s="113"/>
      <c r="G47" s="113"/>
      <c r="H47" s="113"/>
      <c r="I47" s="113"/>
      <c r="J47" s="113"/>
      <c r="K47" s="113"/>
      <c r="L47" s="113"/>
      <c r="M47" s="113"/>
      <c r="N47" s="113"/>
      <c r="O47" s="113"/>
      <c r="P47" s="113"/>
      <c r="Q47" s="113"/>
      <c r="R47" s="113"/>
      <c r="S47" s="113"/>
      <c r="T47" s="113"/>
      <c r="U47" s="113"/>
      <c r="V47" s="113"/>
      <c r="W47" s="113"/>
      <c r="X47" s="113"/>
      <c r="Y47" s="113"/>
      <c r="Z47" s="113"/>
      <c r="AA47" s="113"/>
      <c r="AB47" s="113"/>
      <c r="AC47" s="113"/>
      <c r="AD47" s="113"/>
      <c r="AE47" s="113"/>
      <c r="AF47" s="113"/>
      <c r="AG47" s="113"/>
      <c r="AH47" s="113"/>
      <c r="AI47" s="113"/>
      <c r="AJ47" s="113"/>
      <c r="AK47" s="113"/>
      <c r="AL47" s="113"/>
      <c r="AM47" s="113"/>
      <c r="AN47" s="113"/>
      <c r="AO47" s="113"/>
      <c r="AP47" s="113"/>
      <c r="AQ47" s="113"/>
      <c r="AR47" s="113"/>
      <c r="AS47" s="113"/>
      <c r="AT47" s="113"/>
      <c r="AU47" s="113"/>
      <c r="AV47" s="113"/>
      <c r="AW47" s="113"/>
      <c r="AX47" s="113"/>
      <c r="AY47" s="113"/>
      <c r="AZ47" s="113"/>
      <c r="BA47" s="113"/>
      <c r="BB47" s="113"/>
      <c r="BC47" s="113"/>
      <c r="BD47" s="113"/>
      <c r="BE47" s="113"/>
      <c r="BF47" s="113"/>
      <c r="BG47" s="113"/>
      <c r="BH47" s="113"/>
      <c r="BI47" s="113"/>
      <c r="BJ47" s="113"/>
    </row>
    <row r="48" spans="1:62" x14ac:dyDescent="0.2">
      <c r="A48" s="113"/>
      <c r="B48" s="113"/>
      <c r="C48" s="114"/>
      <c r="D48" s="113"/>
      <c r="E48" s="113"/>
      <c r="F48" s="113"/>
      <c r="G48" s="113"/>
      <c r="H48" s="113"/>
      <c r="I48" s="113"/>
      <c r="J48" s="113"/>
      <c r="K48" s="113"/>
      <c r="L48" s="113"/>
      <c r="M48" s="113"/>
      <c r="N48" s="113"/>
      <c r="O48" s="113"/>
      <c r="P48" s="113"/>
      <c r="Q48" s="113"/>
      <c r="R48" s="113"/>
      <c r="S48" s="113"/>
      <c r="T48" s="113"/>
      <c r="U48" s="113"/>
      <c r="V48" s="113"/>
      <c r="W48" s="113"/>
      <c r="X48" s="113"/>
      <c r="Y48" s="113"/>
      <c r="Z48" s="113"/>
      <c r="AA48" s="113"/>
      <c r="AB48" s="113"/>
      <c r="AC48" s="113"/>
      <c r="AD48" s="113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3"/>
      <c r="AS48" s="113"/>
      <c r="AT48" s="113"/>
      <c r="AU48" s="113"/>
      <c r="AV48" s="113"/>
      <c r="AW48" s="113"/>
      <c r="AX48" s="113"/>
      <c r="AY48" s="113"/>
      <c r="AZ48" s="113"/>
      <c r="BA48" s="113"/>
      <c r="BB48" s="113"/>
      <c r="BC48" s="113"/>
      <c r="BD48" s="113"/>
      <c r="BE48" s="113"/>
      <c r="BF48" s="113"/>
      <c r="BG48" s="113"/>
      <c r="BH48" s="113"/>
      <c r="BI48" s="113"/>
      <c r="BJ48" s="113"/>
    </row>
    <row r="49" spans="1:62" x14ac:dyDescent="0.2">
      <c r="A49" s="113"/>
      <c r="B49" s="113"/>
      <c r="C49" s="114"/>
      <c r="D49" s="113"/>
      <c r="E49" s="113"/>
      <c r="F49" s="113"/>
      <c r="G49" s="113"/>
      <c r="H49" s="113"/>
      <c r="I49" s="113"/>
      <c r="J49" s="113"/>
      <c r="K49" s="113"/>
      <c r="L49" s="113"/>
      <c r="M49" s="113"/>
      <c r="N49" s="113"/>
      <c r="O49" s="113"/>
      <c r="P49" s="113"/>
      <c r="Q49" s="113"/>
      <c r="R49" s="113"/>
      <c r="S49" s="113"/>
      <c r="T49" s="113"/>
      <c r="U49" s="113"/>
      <c r="V49" s="113"/>
      <c r="W49" s="113"/>
      <c r="X49" s="113"/>
      <c r="Y49" s="113"/>
      <c r="Z49" s="113"/>
      <c r="AA49" s="113"/>
      <c r="AB49" s="113"/>
      <c r="AC49" s="113"/>
      <c r="AD49" s="113"/>
      <c r="AE49" s="113"/>
      <c r="AF49" s="113"/>
      <c r="AG49" s="113"/>
      <c r="AH49" s="113"/>
      <c r="AI49" s="113"/>
      <c r="AJ49" s="113"/>
      <c r="AK49" s="113"/>
      <c r="AL49" s="113"/>
      <c r="AM49" s="113"/>
      <c r="AN49" s="113"/>
      <c r="AO49" s="113"/>
      <c r="AP49" s="113"/>
      <c r="AQ49" s="113"/>
      <c r="AR49" s="113"/>
      <c r="AS49" s="113"/>
      <c r="AT49" s="113"/>
      <c r="AU49" s="113"/>
      <c r="AV49" s="113"/>
      <c r="AW49" s="113"/>
      <c r="AX49" s="113"/>
      <c r="AY49" s="113"/>
      <c r="AZ49" s="113"/>
      <c r="BA49" s="113"/>
      <c r="BB49" s="113"/>
      <c r="BC49" s="113"/>
      <c r="BD49" s="113"/>
      <c r="BE49" s="113"/>
      <c r="BF49" s="113"/>
      <c r="BG49" s="113"/>
      <c r="BH49" s="113"/>
      <c r="BI49" s="113"/>
      <c r="BJ49" s="113"/>
    </row>
    <row r="50" spans="1:62" x14ac:dyDescent="0.2">
      <c r="A50" s="113"/>
      <c r="B50" s="113"/>
      <c r="C50" s="114"/>
      <c r="D50" s="113"/>
      <c r="E50" s="113"/>
      <c r="F50" s="113"/>
      <c r="G50" s="113"/>
      <c r="H50" s="113"/>
      <c r="I50" s="113"/>
      <c r="J50" s="113"/>
      <c r="K50" s="113"/>
      <c r="L50" s="113"/>
      <c r="M50" s="113"/>
      <c r="N50" s="113"/>
      <c r="O50" s="113"/>
      <c r="P50" s="113"/>
      <c r="Q50" s="113"/>
      <c r="R50" s="113"/>
      <c r="S50" s="113"/>
      <c r="T50" s="113"/>
      <c r="U50" s="113"/>
      <c r="V50" s="113"/>
      <c r="W50" s="113"/>
      <c r="X50" s="113"/>
      <c r="Y50" s="113"/>
      <c r="Z50" s="113"/>
      <c r="AA50" s="113"/>
      <c r="AB50" s="113"/>
      <c r="AC50" s="113"/>
      <c r="AD50" s="113"/>
      <c r="AE50" s="113"/>
      <c r="AF50" s="113"/>
      <c r="AG50" s="113"/>
      <c r="AH50" s="113"/>
      <c r="AI50" s="113"/>
      <c r="AJ50" s="113"/>
      <c r="AK50" s="113"/>
      <c r="AL50" s="113"/>
      <c r="AM50" s="113"/>
      <c r="AN50" s="113"/>
      <c r="AO50" s="113"/>
      <c r="AP50" s="113"/>
      <c r="AQ50" s="113"/>
      <c r="AR50" s="113"/>
      <c r="AS50" s="113"/>
      <c r="AT50" s="113"/>
      <c r="AU50" s="113"/>
      <c r="AV50" s="113"/>
      <c r="AW50" s="113"/>
      <c r="AX50" s="113"/>
      <c r="AY50" s="113"/>
      <c r="AZ50" s="113"/>
      <c r="BA50" s="113"/>
      <c r="BB50" s="113"/>
      <c r="BC50" s="113"/>
      <c r="BD50" s="113"/>
      <c r="BE50" s="113"/>
      <c r="BF50" s="113"/>
      <c r="BG50" s="113"/>
      <c r="BH50" s="113"/>
      <c r="BI50" s="113"/>
      <c r="BJ50" s="113"/>
    </row>
    <row r="51" spans="1:62" x14ac:dyDescent="0.2">
      <c r="A51" s="113"/>
      <c r="B51" s="113"/>
      <c r="C51" s="114"/>
      <c r="D51" s="113"/>
      <c r="E51" s="113"/>
      <c r="F51" s="113"/>
      <c r="G51" s="113"/>
      <c r="H51" s="113"/>
      <c r="I51" s="113"/>
      <c r="J51" s="113"/>
      <c r="K51" s="113"/>
      <c r="L51" s="113"/>
      <c r="M51" s="113"/>
      <c r="N51" s="113"/>
      <c r="O51" s="113"/>
      <c r="P51" s="113"/>
      <c r="Q51" s="113"/>
      <c r="R51" s="113"/>
      <c r="S51" s="113"/>
      <c r="T51" s="113"/>
      <c r="U51" s="113"/>
      <c r="V51" s="113"/>
      <c r="W51" s="113"/>
      <c r="X51" s="113"/>
      <c r="Y51" s="113"/>
      <c r="Z51" s="113"/>
      <c r="AA51" s="113"/>
      <c r="AB51" s="113"/>
      <c r="AC51" s="113"/>
      <c r="AD51" s="113"/>
      <c r="AE51" s="113"/>
      <c r="AF51" s="113"/>
      <c r="AG51" s="113"/>
      <c r="AH51" s="113"/>
      <c r="AI51" s="113"/>
      <c r="AJ51" s="113"/>
      <c r="AK51" s="113"/>
      <c r="AL51" s="113"/>
      <c r="AM51" s="113"/>
      <c r="AN51" s="113"/>
      <c r="AO51" s="113"/>
      <c r="AP51" s="113"/>
      <c r="AQ51" s="113"/>
      <c r="AR51" s="113"/>
      <c r="AS51" s="113"/>
      <c r="AT51" s="113"/>
      <c r="AU51" s="113"/>
      <c r="AV51" s="113"/>
      <c r="AW51" s="113"/>
      <c r="AX51" s="113"/>
      <c r="AY51" s="113"/>
      <c r="AZ51" s="113"/>
      <c r="BA51" s="113"/>
      <c r="BB51" s="113"/>
      <c r="BC51" s="113"/>
      <c r="BD51" s="113"/>
      <c r="BE51" s="113"/>
      <c r="BF51" s="113"/>
      <c r="BG51" s="113"/>
      <c r="BH51" s="113"/>
      <c r="BI51" s="113"/>
      <c r="BJ51" s="113"/>
    </row>
    <row r="52" spans="1:62" x14ac:dyDescent="0.2">
      <c r="A52" s="113"/>
      <c r="B52" s="113"/>
      <c r="C52" s="114"/>
      <c r="D52" s="113"/>
      <c r="E52" s="113"/>
      <c r="F52" s="113"/>
      <c r="G52" s="113"/>
      <c r="H52" s="113"/>
      <c r="I52" s="113"/>
      <c r="J52" s="113"/>
      <c r="K52" s="113"/>
      <c r="L52" s="113"/>
      <c r="M52" s="113"/>
      <c r="N52" s="113"/>
      <c r="O52" s="113"/>
      <c r="P52" s="113"/>
      <c r="Q52" s="113"/>
      <c r="R52" s="113"/>
      <c r="S52" s="113"/>
      <c r="T52" s="113"/>
      <c r="U52" s="113"/>
      <c r="V52" s="113"/>
      <c r="W52" s="113"/>
      <c r="X52" s="113"/>
      <c r="Y52" s="113"/>
      <c r="Z52" s="113"/>
      <c r="AA52" s="113"/>
      <c r="AB52" s="113"/>
      <c r="AC52" s="113"/>
      <c r="AD52" s="113"/>
      <c r="AE52" s="113"/>
      <c r="AF52" s="113"/>
      <c r="AG52" s="113"/>
      <c r="AH52" s="113"/>
      <c r="AI52" s="113"/>
      <c r="AJ52" s="113"/>
      <c r="AK52" s="113"/>
      <c r="AL52" s="113"/>
      <c r="AM52" s="113"/>
      <c r="AN52" s="113"/>
      <c r="AO52" s="113"/>
      <c r="AP52" s="113"/>
      <c r="AQ52" s="113"/>
      <c r="AR52" s="113"/>
      <c r="AS52" s="113"/>
      <c r="AT52" s="113"/>
      <c r="AU52" s="113"/>
      <c r="AV52" s="113"/>
      <c r="AW52" s="113"/>
      <c r="AX52" s="113"/>
      <c r="AY52" s="113"/>
      <c r="AZ52" s="113"/>
      <c r="BA52" s="113"/>
      <c r="BB52" s="113"/>
      <c r="BC52" s="113"/>
      <c r="BD52" s="113"/>
      <c r="BE52" s="113"/>
      <c r="BF52" s="113"/>
      <c r="BG52" s="113"/>
      <c r="BH52" s="113"/>
      <c r="BI52" s="113"/>
      <c r="BJ52" s="113"/>
    </row>
    <row r="53" spans="1:62" x14ac:dyDescent="0.2">
      <c r="A53" s="113"/>
      <c r="B53" s="113"/>
      <c r="C53" s="114"/>
      <c r="D53" s="113"/>
      <c r="E53" s="113"/>
      <c r="F53" s="113"/>
      <c r="G53" s="113"/>
      <c r="H53" s="113"/>
      <c r="I53" s="113"/>
      <c r="J53" s="113"/>
      <c r="K53" s="113"/>
      <c r="L53" s="113"/>
      <c r="M53" s="113"/>
      <c r="N53" s="113"/>
      <c r="O53" s="113"/>
      <c r="P53" s="113"/>
      <c r="Q53" s="113"/>
      <c r="R53" s="113"/>
      <c r="S53" s="113"/>
      <c r="T53" s="113"/>
      <c r="U53" s="113"/>
      <c r="V53" s="113"/>
      <c r="W53" s="113"/>
      <c r="X53" s="113"/>
      <c r="Y53" s="113"/>
      <c r="Z53" s="113"/>
      <c r="AA53" s="113"/>
      <c r="AB53" s="113"/>
      <c r="AC53" s="113"/>
      <c r="AD53" s="113"/>
      <c r="AE53" s="113"/>
      <c r="AF53" s="113"/>
      <c r="AG53" s="113"/>
      <c r="AH53" s="113"/>
      <c r="AI53" s="113"/>
      <c r="AJ53" s="113"/>
      <c r="AK53" s="113"/>
      <c r="AL53" s="113"/>
      <c r="AM53" s="113"/>
      <c r="AN53" s="113"/>
      <c r="AO53" s="113"/>
      <c r="AP53" s="113"/>
      <c r="AQ53" s="113"/>
      <c r="AR53" s="113"/>
      <c r="AS53" s="113"/>
      <c r="AT53" s="113"/>
      <c r="AU53" s="113"/>
      <c r="AV53" s="113"/>
      <c r="AW53" s="113"/>
      <c r="AX53" s="113"/>
      <c r="AY53" s="113"/>
      <c r="AZ53" s="113"/>
      <c r="BA53" s="113"/>
      <c r="BB53" s="113"/>
      <c r="BC53" s="113"/>
      <c r="BD53" s="113"/>
      <c r="BE53" s="113"/>
      <c r="BF53" s="113"/>
      <c r="BG53" s="113"/>
      <c r="BH53" s="113"/>
      <c r="BI53" s="113"/>
      <c r="BJ53" s="113"/>
    </row>
    <row r="54" spans="1:62" x14ac:dyDescent="0.2">
      <c r="A54" s="113"/>
      <c r="B54" s="113"/>
      <c r="C54" s="114"/>
      <c r="D54" s="113"/>
      <c r="E54" s="113"/>
      <c r="F54" s="113"/>
      <c r="G54" s="113"/>
      <c r="H54" s="113"/>
      <c r="I54" s="113"/>
      <c r="J54" s="113"/>
      <c r="K54" s="113"/>
      <c r="L54" s="113"/>
      <c r="M54" s="113"/>
      <c r="N54" s="113"/>
      <c r="O54" s="113"/>
      <c r="P54" s="113"/>
      <c r="Q54" s="113"/>
      <c r="R54" s="113"/>
      <c r="S54" s="113"/>
      <c r="T54" s="113"/>
      <c r="U54" s="113"/>
      <c r="V54" s="113"/>
      <c r="W54" s="113"/>
      <c r="X54" s="113"/>
      <c r="Y54" s="113"/>
      <c r="Z54" s="113"/>
      <c r="AA54" s="113"/>
      <c r="AB54" s="113"/>
      <c r="AC54" s="113"/>
      <c r="AD54" s="113"/>
      <c r="AE54" s="113"/>
      <c r="AF54" s="113"/>
      <c r="AG54" s="113"/>
      <c r="AH54" s="113"/>
      <c r="AI54" s="113"/>
      <c r="AJ54" s="113"/>
      <c r="AK54" s="113"/>
      <c r="AL54" s="113"/>
      <c r="AM54" s="113"/>
      <c r="AN54" s="113"/>
      <c r="AO54" s="113"/>
      <c r="AP54" s="113"/>
      <c r="AQ54" s="113"/>
      <c r="AR54" s="113"/>
      <c r="AS54" s="113"/>
      <c r="AT54" s="113"/>
      <c r="AU54" s="113"/>
      <c r="AV54" s="113"/>
      <c r="AW54" s="113"/>
      <c r="AX54" s="113"/>
      <c r="AY54" s="113"/>
      <c r="AZ54" s="113"/>
      <c r="BA54" s="113"/>
      <c r="BB54" s="113"/>
      <c r="BC54" s="113"/>
      <c r="BD54" s="113"/>
      <c r="BE54" s="113"/>
      <c r="BF54" s="113"/>
      <c r="BG54" s="113"/>
      <c r="BH54" s="113"/>
      <c r="BI54" s="113"/>
      <c r="BJ54" s="113"/>
    </row>
    <row r="55" spans="1:62" x14ac:dyDescent="0.2">
      <c r="A55" s="113"/>
      <c r="B55" s="113"/>
      <c r="C55" s="114"/>
      <c r="D55" s="113"/>
      <c r="E55" s="113"/>
      <c r="F55" s="113"/>
      <c r="G55" s="113"/>
      <c r="H55" s="113"/>
      <c r="I55" s="113"/>
      <c r="J55" s="113"/>
      <c r="K55" s="113"/>
      <c r="L55" s="113"/>
      <c r="M55" s="113"/>
      <c r="N55" s="113"/>
      <c r="O55" s="113"/>
      <c r="P55" s="113"/>
      <c r="Q55" s="113"/>
      <c r="R55" s="113"/>
      <c r="S55" s="113"/>
      <c r="T55" s="113"/>
      <c r="U55" s="113"/>
      <c r="V55" s="113"/>
      <c r="W55" s="113"/>
      <c r="X55" s="113"/>
      <c r="Y55" s="113"/>
      <c r="Z55" s="113"/>
      <c r="AA55" s="113"/>
      <c r="AB55" s="113"/>
      <c r="AC55" s="113"/>
      <c r="AD55" s="113"/>
      <c r="AE55" s="113"/>
      <c r="AF55" s="113"/>
      <c r="AG55" s="113"/>
      <c r="AH55" s="113"/>
      <c r="AI55" s="113"/>
      <c r="AJ55" s="113"/>
      <c r="AK55" s="113"/>
      <c r="AL55" s="113"/>
      <c r="AM55" s="113"/>
      <c r="AN55" s="113"/>
      <c r="AO55" s="113"/>
      <c r="AP55" s="113"/>
      <c r="AQ55" s="113"/>
      <c r="AR55" s="113"/>
      <c r="AS55" s="113"/>
      <c r="AT55" s="113"/>
      <c r="AU55" s="113"/>
      <c r="AV55" s="113"/>
      <c r="AW55" s="113"/>
      <c r="AX55" s="113"/>
      <c r="AY55" s="113"/>
      <c r="AZ55" s="113"/>
      <c r="BA55" s="113"/>
      <c r="BB55" s="113"/>
      <c r="BC55" s="113"/>
      <c r="BD55" s="113"/>
      <c r="BE55" s="113"/>
      <c r="BF55" s="113"/>
      <c r="BG55" s="113"/>
      <c r="BH55" s="113"/>
      <c r="BI55" s="113"/>
      <c r="BJ55" s="113"/>
    </row>
    <row r="56" spans="1:62" x14ac:dyDescent="0.2">
      <c r="A56" s="113"/>
      <c r="B56" s="113"/>
      <c r="C56" s="114"/>
      <c r="D56" s="113"/>
      <c r="E56" s="113"/>
      <c r="F56" s="113"/>
      <c r="G56" s="113"/>
      <c r="H56" s="113"/>
      <c r="I56" s="113"/>
      <c r="J56" s="113"/>
      <c r="K56" s="113"/>
      <c r="L56" s="113"/>
      <c r="M56" s="113"/>
      <c r="N56" s="113"/>
      <c r="O56" s="113"/>
      <c r="P56" s="113"/>
      <c r="Q56" s="113"/>
      <c r="R56" s="113"/>
      <c r="S56" s="113"/>
      <c r="T56" s="113"/>
      <c r="U56" s="113"/>
      <c r="V56" s="113"/>
      <c r="W56" s="113"/>
      <c r="X56" s="113"/>
      <c r="Y56" s="113"/>
      <c r="Z56" s="113"/>
      <c r="AA56" s="113"/>
      <c r="AB56" s="113"/>
      <c r="AC56" s="113"/>
      <c r="AD56" s="113"/>
      <c r="AE56" s="113"/>
      <c r="AF56" s="113"/>
      <c r="AG56" s="113"/>
      <c r="AH56" s="113"/>
      <c r="AI56" s="113"/>
      <c r="AJ56" s="113"/>
      <c r="AK56" s="113"/>
      <c r="AL56" s="113"/>
      <c r="AM56" s="113"/>
      <c r="AN56" s="113"/>
      <c r="AO56" s="113"/>
      <c r="AP56" s="113"/>
      <c r="AQ56" s="113"/>
      <c r="AR56" s="113"/>
      <c r="AS56" s="113"/>
      <c r="AT56" s="113"/>
      <c r="AU56" s="113"/>
      <c r="AV56" s="113"/>
      <c r="AW56" s="113"/>
      <c r="AX56" s="113"/>
      <c r="AY56" s="113"/>
      <c r="AZ56" s="113"/>
      <c r="BA56" s="113"/>
      <c r="BB56" s="113"/>
      <c r="BC56" s="113"/>
      <c r="BD56" s="113"/>
      <c r="BE56" s="113"/>
      <c r="BF56" s="113"/>
      <c r="BG56" s="113"/>
      <c r="BH56" s="113"/>
      <c r="BI56" s="113"/>
      <c r="BJ56" s="113"/>
    </row>
    <row r="57" spans="1:62" x14ac:dyDescent="0.2">
      <c r="A57" s="113"/>
      <c r="B57" s="113"/>
      <c r="C57" s="114"/>
      <c r="D57" s="113"/>
      <c r="E57" s="113"/>
      <c r="F57" s="113"/>
      <c r="G57" s="113"/>
      <c r="H57" s="113"/>
      <c r="I57" s="113"/>
      <c r="J57" s="113"/>
      <c r="K57" s="113"/>
      <c r="L57" s="113"/>
      <c r="M57" s="113"/>
      <c r="N57" s="113"/>
      <c r="O57" s="113"/>
      <c r="P57" s="113"/>
      <c r="Q57" s="113"/>
      <c r="R57" s="113"/>
      <c r="S57" s="113"/>
      <c r="T57" s="113"/>
      <c r="U57" s="113"/>
      <c r="V57" s="113"/>
      <c r="W57" s="113"/>
      <c r="X57" s="113"/>
      <c r="Y57" s="113"/>
      <c r="Z57" s="113"/>
      <c r="AA57" s="113"/>
      <c r="AB57" s="113"/>
      <c r="AC57" s="113"/>
      <c r="AD57" s="113"/>
      <c r="AE57" s="113"/>
      <c r="AF57" s="113"/>
      <c r="AG57" s="113"/>
      <c r="AH57" s="113"/>
      <c r="AI57" s="113"/>
      <c r="AJ57" s="113"/>
      <c r="AK57" s="113"/>
      <c r="AL57" s="113"/>
      <c r="AM57" s="113"/>
      <c r="AN57" s="113"/>
      <c r="AO57" s="113"/>
      <c r="AP57" s="113"/>
      <c r="AQ57" s="113"/>
      <c r="AR57" s="113"/>
      <c r="AS57" s="113"/>
      <c r="AT57" s="113"/>
      <c r="AU57" s="113"/>
      <c r="AV57" s="113"/>
      <c r="AW57" s="113"/>
      <c r="AX57" s="113"/>
      <c r="AY57" s="113"/>
      <c r="AZ57" s="113"/>
      <c r="BA57" s="113"/>
      <c r="BB57" s="113"/>
      <c r="BC57" s="113"/>
      <c r="BD57" s="113"/>
      <c r="BE57" s="113"/>
      <c r="BF57" s="113"/>
      <c r="BG57" s="113"/>
      <c r="BH57" s="113"/>
      <c r="BI57" s="113"/>
      <c r="BJ57" s="113"/>
    </row>
    <row r="58" spans="1:62" x14ac:dyDescent="0.2">
      <c r="A58" s="113"/>
      <c r="B58" s="113"/>
      <c r="C58" s="114"/>
      <c r="D58" s="113"/>
      <c r="E58" s="113"/>
      <c r="F58" s="113"/>
      <c r="G58" s="113"/>
      <c r="H58" s="113"/>
      <c r="I58" s="113"/>
      <c r="J58" s="113"/>
      <c r="K58" s="113"/>
      <c r="L58" s="113"/>
      <c r="M58" s="113"/>
      <c r="N58" s="113"/>
      <c r="O58" s="113"/>
      <c r="P58" s="113"/>
      <c r="Q58" s="113"/>
      <c r="R58" s="113"/>
      <c r="S58" s="113"/>
      <c r="T58" s="113"/>
      <c r="U58" s="113"/>
      <c r="V58" s="113"/>
      <c r="W58" s="113"/>
      <c r="X58" s="113"/>
      <c r="Y58" s="113"/>
      <c r="Z58" s="113"/>
      <c r="AA58" s="113"/>
      <c r="AB58" s="113"/>
      <c r="AC58" s="113"/>
      <c r="AD58" s="113"/>
      <c r="AE58" s="113"/>
      <c r="AF58" s="113"/>
      <c r="AG58" s="113"/>
      <c r="AH58" s="113"/>
      <c r="AI58" s="113"/>
      <c r="AJ58" s="113"/>
      <c r="AK58" s="113"/>
      <c r="AL58" s="113"/>
      <c r="AM58" s="113"/>
      <c r="AN58" s="113"/>
      <c r="AO58" s="113"/>
      <c r="AP58" s="113"/>
      <c r="AQ58" s="113"/>
      <c r="AR58" s="113"/>
      <c r="AS58" s="113"/>
      <c r="AT58" s="113"/>
      <c r="AU58" s="113"/>
      <c r="AV58" s="113"/>
      <c r="AW58" s="113"/>
      <c r="AX58" s="113"/>
      <c r="AY58" s="113"/>
      <c r="AZ58" s="113"/>
      <c r="BA58" s="113"/>
      <c r="BB58" s="113"/>
      <c r="BC58" s="113"/>
      <c r="BD58" s="113"/>
      <c r="BE58" s="113"/>
      <c r="BF58" s="113"/>
      <c r="BG58" s="113"/>
      <c r="BH58" s="113"/>
      <c r="BI58" s="113"/>
      <c r="BJ58" s="113"/>
    </row>
    <row r="59" spans="1:62" x14ac:dyDescent="0.2">
      <c r="A59" s="113"/>
      <c r="B59" s="113"/>
      <c r="C59" s="114"/>
      <c r="D59" s="113"/>
      <c r="E59" s="113"/>
      <c r="F59" s="113"/>
      <c r="G59" s="113"/>
      <c r="H59" s="113"/>
      <c r="I59" s="113"/>
      <c r="J59" s="113"/>
      <c r="K59" s="113"/>
      <c r="L59" s="113"/>
      <c r="M59" s="113"/>
      <c r="N59" s="113"/>
      <c r="O59" s="113"/>
      <c r="P59" s="113"/>
      <c r="Q59" s="113"/>
      <c r="R59" s="113"/>
      <c r="S59" s="113"/>
      <c r="T59" s="113"/>
      <c r="U59" s="113"/>
      <c r="V59" s="113"/>
      <c r="W59" s="113"/>
      <c r="X59" s="113"/>
      <c r="Y59" s="113"/>
      <c r="Z59" s="113"/>
      <c r="AA59" s="113"/>
      <c r="AB59" s="113"/>
      <c r="AC59" s="113"/>
      <c r="AD59" s="113"/>
      <c r="AE59" s="113"/>
      <c r="AF59" s="113"/>
      <c r="AG59" s="113"/>
      <c r="AH59" s="113"/>
      <c r="AI59" s="113"/>
      <c r="AJ59" s="113"/>
      <c r="AK59" s="113"/>
      <c r="AL59" s="113"/>
      <c r="AM59" s="113"/>
      <c r="AN59" s="113"/>
      <c r="AO59" s="113"/>
      <c r="AP59" s="113"/>
      <c r="AQ59" s="113"/>
      <c r="AR59" s="113"/>
      <c r="AS59" s="113"/>
      <c r="AT59" s="113"/>
      <c r="AU59" s="113"/>
      <c r="AV59" s="113"/>
      <c r="AW59" s="113"/>
      <c r="AX59" s="113"/>
      <c r="AY59" s="113"/>
      <c r="AZ59" s="113"/>
      <c r="BA59" s="113"/>
      <c r="BB59" s="113"/>
      <c r="BC59" s="113"/>
      <c r="BD59" s="113"/>
      <c r="BE59" s="113"/>
      <c r="BF59" s="113"/>
      <c r="BG59" s="113"/>
      <c r="BH59" s="113"/>
      <c r="BI59" s="113"/>
      <c r="BJ59" s="113"/>
    </row>
    <row r="60" spans="1:62" x14ac:dyDescent="0.2">
      <c r="A60" s="113"/>
      <c r="B60" s="113"/>
      <c r="C60" s="114"/>
      <c r="D60" s="113"/>
      <c r="E60" s="113"/>
      <c r="F60" s="113"/>
      <c r="G60" s="113"/>
      <c r="H60" s="113"/>
      <c r="I60" s="113"/>
      <c r="J60" s="113"/>
      <c r="K60" s="113"/>
      <c r="L60" s="113"/>
      <c r="M60" s="113"/>
      <c r="N60" s="113"/>
      <c r="O60" s="113"/>
      <c r="P60" s="113"/>
      <c r="Q60" s="113"/>
      <c r="R60" s="113"/>
      <c r="S60" s="113"/>
      <c r="T60" s="113"/>
      <c r="U60" s="113"/>
      <c r="V60" s="113"/>
      <c r="W60" s="113"/>
      <c r="X60" s="113"/>
      <c r="Y60" s="113"/>
      <c r="Z60" s="113"/>
      <c r="AA60" s="113"/>
      <c r="AB60" s="113"/>
      <c r="AC60" s="113"/>
      <c r="AD60" s="113"/>
      <c r="AE60" s="113"/>
      <c r="AF60" s="113"/>
      <c r="AG60" s="113"/>
      <c r="AH60" s="113"/>
      <c r="AI60" s="113"/>
      <c r="AJ60" s="113"/>
      <c r="AK60" s="113"/>
      <c r="AL60" s="113"/>
      <c r="AM60" s="113"/>
      <c r="AN60" s="113"/>
      <c r="AO60" s="113"/>
      <c r="AP60" s="113"/>
      <c r="AQ60" s="113"/>
      <c r="AR60" s="113"/>
      <c r="AS60" s="113"/>
      <c r="AT60" s="113"/>
      <c r="AU60" s="113"/>
      <c r="AV60" s="113"/>
      <c r="AW60" s="113"/>
      <c r="AX60" s="113"/>
      <c r="AY60" s="113"/>
      <c r="AZ60" s="113"/>
      <c r="BA60" s="113"/>
      <c r="BB60" s="113"/>
      <c r="BC60" s="113"/>
      <c r="BD60" s="113"/>
      <c r="BE60" s="113"/>
      <c r="BF60" s="113"/>
      <c r="BG60" s="113"/>
      <c r="BH60" s="113"/>
      <c r="BI60" s="113"/>
      <c r="BJ60" s="113"/>
    </row>
    <row r="61" spans="1:62" x14ac:dyDescent="0.2">
      <c r="A61" s="113"/>
      <c r="B61" s="113"/>
      <c r="C61" s="114"/>
      <c r="D61" s="113"/>
      <c r="E61" s="113"/>
      <c r="F61" s="113"/>
      <c r="G61" s="113"/>
      <c r="H61" s="113"/>
      <c r="I61" s="113"/>
      <c r="J61" s="113"/>
      <c r="K61" s="113"/>
      <c r="L61" s="113"/>
      <c r="M61" s="113"/>
      <c r="N61" s="113"/>
      <c r="O61" s="113"/>
      <c r="P61" s="113"/>
      <c r="Q61" s="113"/>
      <c r="R61" s="113"/>
      <c r="S61" s="113"/>
      <c r="T61" s="113"/>
      <c r="U61" s="113"/>
      <c r="V61" s="113"/>
      <c r="W61" s="113"/>
      <c r="X61" s="113"/>
      <c r="Y61" s="113"/>
      <c r="Z61" s="113"/>
      <c r="AA61" s="113"/>
      <c r="AB61" s="113"/>
      <c r="AC61" s="113"/>
      <c r="AD61" s="113"/>
      <c r="AE61" s="113"/>
      <c r="AF61" s="113"/>
      <c r="AG61" s="113"/>
      <c r="AH61" s="113"/>
      <c r="AI61" s="113"/>
      <c r="AJ61" s="113"/>
      <c r="AK61" s="113"/>
      <c r="AL61" s="113"/>
      <c r="AM61" s="113"/>
      <c r="AN61" s="113"/>
      <c r="AO61" s="113"/>
      <c r="AP61" s="113"/>
      <c r="AQ61" s="113"/>
      <c r="AR61" s="113"/>
      <c r="AS61" s="113"/>
      <c r="AT61" s="113"/>
      <c r="AU61" s="113"/>
      <c r="AV61" s="113"/>
      <c r="AW61" s="113"/>
      <c r="AX61" s="113"/>
      <c r="AY61" s="113"/>
      <c r="AZ61" s="113"/>
      <c r="BA61" s="113"/>
      <c r="BB61" s="113"/>
      <c r="BC61" s="113"/>
      <c r="BD61" s="113"/>
      <c r="BE61" s="113"/>
      <c r="BF61" s="113"/>
      <c r="BG61" s="113"/>
      <c r="BH61" s="113"/>
      <c r="BI61" s="113"/>
      <c r="BJ61" s="113"/>
    </row>
    <row r="62" spans="1:62" x14ac:dyDescent="0.2">
      <c r="A62" s="113"/>
      <c r="B62" s="113"/>
      <c r="C62" s="114"/>
      <c r="D62" s="113"/>
      <c r="E62" s="113"/>
      <c r="F62" s="113"/>
      <c r="G62" s="113"/>
      <c r="H62" s="113"/>
      <c r="I62" s="113"/>
      <c r="J62" s="113"/>
      <c r="K62" s="113"/>
      <c r="L62" s="113"/>
      <c r="M62" s="113"/>
      <c r="N62" s="113"/>
      <c r="O62" s="113"/>
      <c r="P62" s="113"/>
      <c r="Q62" s="113"/>
      <c r="R62" s="113"/>
      <c r="S62" s="113"/>
      <c r="T62" s="113"/>
      <c r="U62" s="113"/>
      <c r="V62" s="113"/>
      <c r="W62" s="113"/>
      <c r="X62" s="113"/>
      <c r="Y62" s="113"/>
      <c r="Z62" s="113"/>
      <c r="AA62" s="113"/>
      <c r="AB62" s="113"/>
      <c r="AC62" s="113"/>
      <c r="AD62" s="113"/>
      <c r="AE62" s="113"/>
      <c r="AF62" s="113"/>
      <c r="AG62" s="113"/>
      <c r="AH62" s="113"/>
      <c r="AI62" s="113"/>
      <c r="AJ62" s="113"/>
      <c r="AK62" s="113"/>
      <c r="AL62" s="113"/>
      <c r="AM62" s="113"/>
      <c r="AN62" s="113"/>
      <c r="AO62" s="113"/>
      <c r="AP62" s="113"/>
      <c r="AQ62" s="113"/>
      <c r="AR62" s="113"/>
      <c r="AS62" s="113"/>
      <c r="AT62" s="113"/>
      <c r="AU62" s="113"/>
      <c r="AV62" s="113"/>
      <c r="AW62" s="113"/>
      <c r="AX62" s="113"/>
      <c r="AY62" s="113"/>
      <c r="AZ62" s="113"/>
      <c r="BA62" s="113"/>
      <c r="BB62" s="113"/>
      <c r="BC62" s="113"/>
      <c r="BD62" s="113"/>
      <c r="BE62" s="113"/>
      <c r="BF62" s="113"/>
      <c r="BG62" s="113"/>
      <c r="BH62" s="113"/>
      <c r="BI62" s="113"/>
      <c r="BJ62" s="113"/>
    </row>
    <row r="63" spans="1:62" x14ac:dyDescent="0.2">
      <c r="A63" s="113"/>
      <c r="B63" s="113"/>
      <c r="C63" s="114"/>
      <c r="D63" s="113"/>
      <c r="E63" s="113"/>
      <c r="F63" s="113"/>
      <c r="G63" s="113"/>
      <c r="H63" s="113"/>
      <c r="I63" s="113"/>
      <c r="J63" s="113"/>
      <c r="K63" s="113"/>
      <c r="L63" s="113"/>
      <c r="M63" s="113"/>
      <c r="N63" s="113"/>
      <c r="O63" s="113"/>
      <c r="P63" s="113"/>
      <c r="Q63" s="113"/>
      <c r="R63" s="113"/>
      <c r="S63" s="113"/>
      <c r="T63" s="113"/>
      <c r="U63" s="113"/>
      <c r="V63" s="113"/>
      <c r="W63" s="113"/>
      <c r="X63" s="113"/>
      <c r="Y63" s="113"/>
      <c r="Z63" s="113"/>
      <c r="AA63" s="113"/>
      <c r="AB63" s="113"/>
      <c r="AC63" s="113"/>
      <c r="AD63" s="113"/>
      <c r="AE63" s="113"/>
      <c r="AF63" s="113"/>
      <c r="AG63" s="113"/>
      <c r="AH63" s="113"/>
      <c r="AI63" s="113"/>
      <c r="AJ63" s="113"/>
      <c r="AK63" s="113"/>
      <c r="AL63" s="113"/>
      <c r="AM63" s="113"/>
      <c r="AN63" s="113"/>
      <c r="AO63" s="113"/>
      <c r="AP63" s="113"/>
      <c r="AQ63" s="113"/>
      <c r="AR63" s="113"/>
      <c r="AS63" s="113"/>
      <c r="AT63" s="113"/>
      <c r="AU63" s="113"/>
      <c r="AV63" s="113"/>
      <c r="AW63" s="113"/>
      <c r="AX63" s="113"/>
      <c r="AY63" s="113"/>
      <c r="AZ63" s="113"/>
      <c r="BA63" s="113"/>
      <c r="BB63" s="113"/>
      <c r="BC63" s="113"/>
      <c r="BD63" s="113"/>
      <c r="BE63" s="113"/>
      <c r="BF63" s="113"/>
      <c r="BG63" s="113"/>
      <c r="BH63" s="113"/>
      <c r="BI63" s="113"/>
      <c r="BJ63" s="113"/>
    </row>
    <row r="64" spans="1:62" x14ac:dyDescent="0.2">
      <c r="A64" s="113"/>
      <c r="B64" s="113"/>
      <c r="C64" s="114"/>
      <c r="D64" s="113"/>
      <c r="E64" s="113"/>
      <c r="F64" s="113"/>
      <c r="G64" s="113"/>
      <c r="H64" s="113"/>
      <c r="I64" s="113"/>
      <c r="J64" s="113"/>
      <c r="K64" s="113"/>
      <c r="L64" s="113"/>
      <c r="M64" s="113"/>
      <c r="N64" s="113"/>
      <c r="O64" s="113"/>
      <c r="P64" s="113"/>
      <c r="Q64" s="113"/>
      <c r="R64" s="113"/>
      <c r="S64" s="113"/>
      <c r="T64" s="113"/>
      <c r="U64" s="113"/>
      <c r="V64" s="113"/>
      <c r="W64" s="113"/>
      <c r="X64" s="113"/>
      <c r="Y64" s="113"/>
      <c r="Z64" s="113"/>
      <c r="AA64" s="113"/>
      <c r="AB64" s="113"/>
      <c r="AC64" s="113"/>
      <c r="AD64" s="113"/>
      <c r="AE64" s="113"/>
      <c r="AF64" s="113"/>
      <c r="AG64" s="113"/>
      <c r="AH64" s="113"/>
      <c r="AI64" s="113"/>
      <c r="AJ64" s="113"/>
      <c r="AK64" s="113"/>
      <c r="AL64" s="113"/>
      <c r="AM64" s="113"/>
      <c r="AN64" s="113"/>
      <c r="AO64" s="113"/>
      <c r="AP64" s="113"/>
      <c r="AQ64" s="113"/>
      <c r="AR64" s="113"/>
      <c r="AS64" s="113"/>
      <c r="AT64" s="113"/>
      <c r="AU64" s="113"/>
      <c r="AV64" s="113"/>
      <c r="AW64" s="113"/>
      <c r="AX64" s="113"/>
      <c r="AY64" s="113"/>
      <c r="AZ64" s="113"/>
      <c r="BA64" s="113"/>
      <c r="BB64" s="113"/>
      <c r="BC64" s="113"/>
      <c r="BD64" s="113"/>
      <c r="BE64" s="113"/>
      <c r="BF64" s="113"/>
      <c r="BG64" s="113"/>
      <c r="BH64" s="113"/>
      <c r="BI64" s="113"/>
      <c r="BJ64" s="113"/>
    </row>
    <row r="65" spans="1:62" x14ac:dyDescent="0.2">
      <c r="A65" s="113"/>
      <c r="B65" s="113"/>
      <c r="C65" s="114"/>
      <c r="D65" s="113"/>
      <c r="E65" s="113"/>
      <c r="F65" s="113"/>
      <c r="G65" s="113"/>
      <c r="H65" s="113"/>
      <c r="I65" s="113"/>
      <c r="J65" s="113"/>
      <c r="K65" s="113"/>
      <c r="L65" s="113"/>
      <c r="M65" s="113"/>
      <c r="N65" s="113"/>
      <c r="O65" s="113"/>
      <c r="P65" s="113"/>
      <c r="Q65" s="113"/>
      <c r="R65" s="113"/>
      <c r="S65" s="113"/>
      <c r="T65" s="113"/>
      <c r="U65" s="113"/>
      <c r="V65" s="113"/>
      <c r="W65" s="113"/>
      <c r="X65" s="113"/>
      <c r="Y65" s="113"/>
      <c r="Z65" s="113"/>
      <c r="AA65" s="113"/>
      <c r="AB65" s="113"/>
      <c r="AC65" s="113"/>
      <c r="AD65" s="113"/>
      <c r="AE65" s="113"/>
      <c r="AF65" s="113"/>
      <c r="AG65" s="113"/>
      <c r="AH65" s="113"/>
      <c r="AI65" s="113"/>
      <c r="AJ65" s="113"/>
      <c r="AK65" s="113"/>
      <c r="AL65" s="113"/>
      <c r="AM65" s="113"/>
      <c r="AN65" s="113"/>
      <c r="AO65" s="113"/>
      <c r="AP65" s="113"/>
      <c r="AQ65" s="113"/>
      <c r="AR65" s="113"/>
      <c r="AS65" s="113"/>
      <c r="AT65" s="113"/>
      <c r="AU65" s="113"/>
      <c r="AV65" s="113"/>
      <c r="AW65" s="113"/>
      <c r="AX65" s="113"/>
      <c r="AY65" s="113"/>
      <c r="AZ65" s="113"/>
      <c r="BA65" s="113"/>
      <c r="BB65" s="113"/>
      <c r="BC65" s="113"/>
      <c r="BD65" s="113"/>
      <c r="BE65" s="113"/>
      <c r="BF65" s="113"/>
      <c r="BG65" s="113"/>
      <c r="BH65" s="113"/>
      <c r="BI65" s="113"/>
      <c r="BJ65" s="113"/>
    </row>
    <row r="66" spans="1:62" x14ac:dyDescent="0.2">
      <c r="A66" s="113"/>
      <c r="B66" s="113"/>
      <c r="C66" s="114"/>
      <c r="D66" s="113"/>
      <c r="E66" s="113"/>
      <c r="F66" s="113"/>
      <c r="G66" s="113"/>
      <c r="H66" s="113"/>
      <c r="I66" s="113"/>
      <c r="J66" s="113"/>
      <c r="K66" s="113"/>
      <c r="L66" s="113"/>
      <c r="M66" s="113"/>
      <c r="N66" s="113"/>
      <c r="O66" s="113"/>
      <c r="P66" s="113"/>
      <c r="Q66" s="113"/>
      <c r="R66" s="113"/>
      <c r="S66" s="113"/>
      <c r="T66" s="113"/>
      <c r="U66" s="113"/>
      <c r="V66" s="113"/>
      <c r="W66" s="113"/>
      <c r="X66" s="113"/>
      <c r="Y66" s="113"/>
      <c r="Z66" s="113"/>
      <c r="AA66" s="113"/>
      <c r="AB66" s="113"/>
      <c r="AC66" s="113"/>
      <c r="AD66" s="113"/>
      <c r="AE66" s="113"/>
      <c r="AF66" s="113"/>
      <c r="AG66" s="113"/>
      <c r="AH66" s="113"/>
      <c r="AI66" s="113"/>
      <c r="AJ66" s="113"/>
      <c r="AK66" s="113"/>
      <c r="AL66" s="113"/>
      <c r="AM66" s="113"/>
      <c r="AN66" s="113"/>
      <c r="AO66" s="113"/>
      <c r="AP66" s="113"/>
      <c r="AQ66" s="113"/>
      <c r="AR66" s="113"/>
      <c r="AS66" s="113"/>
      <c r="AT66" s="113"/>
      <c r="AU66" s="113"/>
      <c r="AV66" s="113"/>
      <c r="AW66" s="113"/>
      <c r="AX66" s="113"/>
      <c r="AY66" s="113"/>
      <c r="AZ66" s="113"/>
      <c r="BA66" s="113"/>
      <c r="BB66" s="113"/>
      <c r="BC66" s="113"/>
      <c r="BD66" s="113"/>
      <c r="BE66" s="113"/>
      <c r="BF66" s="113"/>
      <c r="BG66" s="113"/>
      <c r="BH66" s="113"/>
      <c r="BI66" s="113"/>
      <c r="BJ66" s="113"/>
    </row>
    <row r="67" spans="1:62" x14ac:dyDescent="0.2">
      <c r="A67" s="113"/>
      <c r="B67" s="113"/>
      <c r="C67" s="114"/>
      <c r="D67" s="113"/>
      <c r="E67" s="113"/>
      <c r="F67" s="113"/>
      <c r="G67" s="113"/>
      <c r="H67" s="113"/>
      <c r="I67" s="113"/>
      <c r="J67" s="113"/>
      <c r="K67" s="113"/>
      <c r="L67" s="113"/>
      <c r="M67" s="113"/>
      <c r="N67" s="113"/>
      <c r="O67" s="113"/>
      <c r="P67" s="113"/>
      <c r="Q67" s="113"/>
      <c r="R67" s="113"/>
      <c r="S67" s="113"/>
      <c r="T67" s="113"/>
      <c r="U67" s="113"/>
      <c r="V67" s="113"/>
      <c r="W67" s="113"/>
      <c r="X67" s="113"/>
      <c r="Y67" s="113"/>
      <c r="Z67" s="113"/>
      <c r="AA67" s="113"/>
      <c r="AB67" s="113"/>
      <c r="AC67" s="113"/>
      <c r="AD67" s="113"/>
      <c r="AE67" s="113"/>
      <c r="AF67" s="113"/>
      <c r="AG67" s="113"/>
      <c r="AH67" s="113"/>
      <c r="AI67" s="113"/>
      <c r="AJ67" s="113"/>
      <c r="AK67" s="113"/>
      <c r="AL67" s="113"/>
      <c r="AM67" s="113"/>
      <c r="AN67" s="113"/>
      <c r="AO67" s="113"/>
      <c r="AP67" s="113"/>
      <c r="AQ67" s="113"/>
      <c r="AR67" s="113"/>
      <c r="AS67" s="113"/>
      <c r="AT67" s="113"/>
      <c r="AU67" s="113"/>
      <c r="AV67" s="113"/>
      <c r="AW67" s="113"/>
      <c r="AX67" s="113"/>
      <c r="AY67" s="113"/>
      <c r="AZ67" s="113"/>
      <c r="BA67" s="113"/>
      <c r="BB67" s="113"/>
      <c r="BC67" s="113"/>
      <c r="BD67" s="113"/>
      <c r="BE67" s="113"/>
      <c r="BF67" s="113"/>
      <c r="BG67" s="113"/>
      <c r="BH67" s="113"/>
      <c r="BI67" s="113"/>
      <c r="BJ67" s="113"/>
    </row>
    <row r="68" spans="1:62" x14ac:dyDescent="0.2">
      <c r="A68" s="113"/>
      <c r="B68" s="113"/>
      <c r="C68" s="114"/>
      <c r="D68" s="113"/>
      <c r="E68" s="113"/>
      <c r="F68" s="113"/>
      <c r="G68" s="113"/>
      <c r="H68" s="113"/>
      <c r="I68" s="113"/>
      <c r="J68" s="113"/>
      <c r="K68" s="113"/>
      <c r="L68" s="113"/>
      <c r="M68" s="113"/>
      <c r="N68" s="113"/>
      <c r="O68" s="113"/>
      <c r="P68" s="113"/>
      <c r="Q68" s="113"/>
      <c r="R68" s="113"/>
      <c r="S68" s="113"/>
      <c r="T68" s="113"/>
      <c r="U68" s="113"/>
      <c r="V68" s="113"/>
      <c r="W68" s="113"/>
      <c r="X68" s="113"/>
      <c r="Y68" s="113"/>
      <c r="Z68" s="113"/>
      <c r="AA68" s="113"/>
      <c r="AB68" s="113"/>
      <c r="AC68" s="113"/>
      <c r="AD68" s="113"/>
      <c r="AE68" s="113"/>
      <c r="AF68" s="113"/>
      <c r="AG68" s="113"/>
      <c r="AH68" s="113"/>
      <c r="AI68" s="113"/>
      <c r="AJ68" s="113"/>
      <c r="AK68" s="113"/>
      <c r="AL68" s="113"/>
      <c r="AM68" s="113"/>
      <c r="AN68" s="113"/>
      <c r="AO68" s="113"/>
      <c r="AP68" s="113"/>
      <c r="AQ68" s="113"/>
      <c r="AR68" s="113"/>
      <c r="AS68" s="113"/>
      <c r="AT68" s="113"/>
      <c r="AU68" s="113"/>
      <c r="AV68" s="113"/>
      <c r="AW68" s="113"/>
      <c r="AX68" s="113"/>
      <c r="AY68" s="113"/>
      <c r="AZ68" s="113"/>
      <c r="BA68" s="113"/>
      <c r="BB68" s="113"/>
      <c r="BC68" s="113"/>
      <c r="BD68" s="113"/>
      <c r="BE68" s="113"/>
      <c r="BF68" s="113"/>
      <c r="BG68" s="113"/>
      <c r="BH68" s="113"/>
      <c r="BI68" s="113"/>
      <c r="BJ68" s="113"/>
    </row>
    <row r="69" spans="1:62" x14ac:dyDescent="0.2">
      <c r="A69" s="113"/>
      <c r="B69" s="113"/>
      <c r="C69" s="114"/>
      <c r="D69" s="113"/>
      <c r="E69" s="113"/>
      <c r="F69" s="113"/>
      <c r="G69" s="113"/>
      <c r="H69" s="113"/>
      <c r="I69" s="113"/>
      <c r="J69" s="113"/>
      <c r="K69" s="113"/>
      <c r="L69" s="113"/>
      <c r="M69" s="113"/>
      <c r="N69" s="113"/>
      <c r="O69" s="113"/>
      <c r="P69" s="113"/>
      <c r="Q69" s="113"/>
      <c r="R69" s="113"/>
      <c r="S69" s="113"/>
      <c r="T69" s="113"/>
      <c r="U69" s="113"/>
      <c r="V69" s="113"/>
      <c r="W69" s="113"/>
      <c r="X69" s="113"/>
      <c r="Y69" s="113"/>
      <c r="Z69" s="113"/>
      <c r="AA69" s="113"/>
      <c r="AB69" s="113"/>
      <c r="AC69" s="113"/>
      <c r="AD69" s="113"/>
      <c r="AE69" s="113"/>
      <c r="AF69" s="113"/>
      <c r="AG69" s="113"/>
      <c r="AH69" s="113"/>
      <c r="AI69" s="113"/>
      <c r="AJ69" s="113"/>
      <c r="AK69" s="113"/>
      <c r="AL69" s="113"/>
      <c r="AM69" s="113"/>
      <c r="AN69" s="113"/>
      <c r="AO69" s="113"/>
      <c r="AP69" s="113"/>
      <c r="AQ69" s="113"/>
      <c r="AR69" s="113"/>
      <c r="AS69" s="113"/>
      <c r="AT69" s="113"/>
      <c r="AU69" s="113"/>
      <c r="AV69" s="113"/>
      <c r="AW69" s="113"/>
      <c r="AX69" s="113"/>
      <c r="AY69" s="113"/>
      <c r="AZ69" s="113"/>
      <c r="BA69" s="113"/>
      <c r="BB69" s="113"/>
      <c r="BC69" s="113"/>
      <c r="BD69" s="113"/>
      <c r="BE69" s="113"/>
      <c r="BF69" s="113"/>
      <c r="BG69" s="113"/>
      <c r="BH69" s="113"/>
      <c r="BI69" s="113"/>
      <c r="BJ69" s="113"/>
    </row>
    <row r="70" spans="1:62" x14ac:dyDescent="0.2">
      <c r="A70" s="113"/>
      <c r="B70" s="113"/>
      <c r="C70" s="114"/>
      <c r="D70" s="113"/>
      <c r="E70" s="113"/>
      <c r="F70" s="113"/>
      <c r="G70" s="113"/>
      <c r="H70" s="113"/>
      <c r="I70" s="113"/>
      <c r="J70" s="113"/>
      <c r="K70" s="113"/>
      <c r="L70" s="113"/>
      <c r="M70" s="113"/>
      <c r="N70" s="113"/>
      <c r="O70" s="113"/>
      <c r="P70" s="113"/>
      <c r="Q70" s="113"/>
      <c r="R70" s="113"/>
      <c r="S70" s="113"/>
      <c r="T70" s="113"/>
      <c r="U70" s="113"/>
      <c r="V70" s="113"/>
      <c r="W70" s="113"/>
      <c r="X70" s="113"/>
      <c r="Y70" s="113"/>
      <c r="Z70" s="113"/>
      <c r="AA70" s="113"/>
      <c r="AB70" s="113"/>
      <c r="AC70" s="113"/>
      <c r="AD70" s="113"/>
      <c r="AE70" s="113"/>
      <c r="AF70" s="113"/>
      <c r="AG70" s="113"/>
      <c r="AH70" s="113"/>
      <c r="AI70" s="113"/>
      <c r="AJ70" s="113"/>
      <c r="AK70" s="113"/>
      <c r="AL70" s="113"/>
      <c r="AM70" s="113"/>
      <c r="AN70" s="113"/>
      <c r="AO70" s="113"/>
      <c r="AP70" s="113"/>
      <c r="AQ70" s="113"/>
      <c r="AR70" s="113"/>
      <c r="AS70" s="113"/>
      <c r="AT70" s="113"/>
      <c r="AU70" s="113"/>
      <c r="AV70" s="113"/>
      <c r="AW70" s="113"/>
      <c r="AX70" s="113"/>
      <c r="AY70" s="113"/>
      <c r="AZ70" s="113"/>
      <c r="BA70" s="113"/>
      <c r="BB70" s="113"/>
      <c r="BC70" s="113"/>
      <c r="BD70" s="113"/>
      <c r="BE70" s="113"/>
      <c r="BF70" s="113"/>
      <c r="BG70" s="113"/>
      <c r="BH70" s="113"/>
      <c r="BI70" s="113"/>
      <c r="BJ70" s="113"/>
    </row>
    <row r="71" spans="1:62" x14ac:dyDescent="0.2">
      <c r="A71" s="113"/>
      <c r="B71" s="113"/>
      <c r="C71" s="114"/>
      <c r="D71" s="113"/>
      <c r="E71" s="113"/>
      <c r="F71" s="113"/>
      <c r="G71" s="113"/>
      <c r="H71" s="113"/>
      <c r="I71" s="113"/>
      <c r="J71" s="113"/>
      <c r="K71" s="113"/>
      <c r="L71" s="113"/>
      <c r="M71" s="113"/>
      <c r="N71" s="113"/>
      <c r="O71" s="113"/>
      <c r="P71" s="113"/>
      <c r="Q71" s="113"/>
      <c r="R71" s="113"/>
      <c r="S71" s="113"/>
      <c r="T71" s="113"/>
      <c r="U71" s="113"/>
      <c r="V71" s="113"/>
      <c r="W71" s="113"/>
      <c r="X71" s="113"/>
      <c r="Y71" s="113"/>
      <c r="Z71" s="113"/>
      <c r="AA71" s="113"/>
      <c r="AB71" s="113"/>
      <c r="AC71" s="113"/>
      <c r="AD71" s="113"/>
      <c r="AE71" s="113"/>
      <c r="AF71" s="113"/>
      <c r="AG71" s="113"/>
      <c r="AH71" s="113"/>
      <c r="AI71" s="113"/>
      <c r="AJ71" s="113"/>
      <c r="AK71" s="113"/>
      <c r="AL71" s="113"/>
      <c r="AM71" s="113"/>
      <c r="AN71" s="113"/>
      <c r="AO71" s="113"/>
      <c r="AP71" s="113"/>
      <c r="AQ71" s="113"/>
      <c r="AR71" s="113"/>
      <c r="AS71" s="113"/>
      <c r="AT71" s="113"/>
      <c r="AU71" s="113"/>
      <c r="AV71" s="113"/>
      <c r="AW71" s="113"/>
      <c r="AX71" s="113"/>
      <c r="AY71" s="113"/>
      <c r="AZ71" s="113"/>
      <c r="BA71" s="113"/>
      <c r="BB71" s="113"/>
      <c r="BC71" s="113"/>
      <c r="BD71" s="113"/>
      <c r="BE71" s="113"/>
      <c r="BF71" s="113"/>
      <c r="BG71" s="113"/>
      <c r="BH71" s="113"/>
      <c r="BI71" s="113"/>
      <c r="BJ71" s="113"/>
    </row>
    <row r="72" spans="1:62" x14ac:dyDescent="0.2">
      <c r="A72" s="113"/>
      <c r="B72" s="113"/>
      <c r="C72" s="114"/>
      <c r="D72" s="113"/>
      <c r="E72" s="113"/>
      <c r="F72" s="113"/>
      <c r="G72" s="113"/>
      <c r="H72" s="113"/>
      <c r="I72" s="113"/>
      <c r="J72" s="113"/>
      <c r="K72" s="113"/>
      <c r="L72" s="113"/>
      <c r="M72" s="113"/>
      <c r="N72" s="113"/>
      <c r="O72" s="113"/>
      <c r="P72" s="113"/>
      <c r="Q72" s="113"/>
      <c r="R72" s="113"/>
      <c r="S72" s="113"/>
      <c r="T72" s="113"/>
      <c r="U72" s="113"/>
      <c r="V72" s="113"/>
      <c r="W72" s="113"/>
      <c r="X72" s="113"/>
      <c r="Y72" s="113"/>
      <c r="Z72" s="113"/>
      <c r="AA72" s="113"/>
      <c r="AB72" s="113"/>
      <c r="AC72" s="113"/>
      <c r="AD72" s="113"/>
      <c r="AE72" s="113"/>
      <c r="AF72" s="113"/>
      <c r="AG72" s="113"/>
      <c r="AH72" s="113"/>
      <c r="AI72" s="113"/>
      <c r="AJ72" s="113"/>
      <c r="AK72" s="113"/>
      <c r="AL72" s="113"/>
      <c r="AM72" s="113"/>
      <c r="AN72" s="113"/>
      <c r="AO72" s="113"/>
      <c r="AP72" s="113"/>
      <c r="AQ72" s="113"/>
      <c r="AR72" s="113"/>
      <c r="AS72" s="113"/>
      <c r="AT72" s="113"/>
      <c r="AU72" s="113"/>
      <c r="AV72" s="113"/>
      <c r="AW72" s="113"/>
      <c r="AX72" s="113"/>
      <c r="AY72" s="113"/>
      <c r="AZ72" s="113"/>
      <c r="BA72" s="113"/>
      <c r="BB72" s="113"/>
      <c r="BC72" s="113"/>
      <c r="BD72" s="113"/>
      <c r="BE72" s="113"/>
      <c r="BF72" s="113"/>
      <c r="BG72" s="113"/>
      <c r="BH72" s="113"/>
      <c r="BI72" s="113"/>
      <c r="BJ72" s="113"/>
    </row>
    <row r="73" spans="1:62" x14ac:dyDescent="0.2">
      <c r="A73" s="113"/>
      <c r="B73" s="113"/>
      <c r="C73" s="114"/>
      <c r="D73" s="113"/>
      <c r="E73" s="113"/>
      <c r="F73" s="115"/>
      <c r="G73" s="113"/>
      <c r="H73" s="113"/>
      <c r="I73" s="113"/>
      <c r="J73" s="113"/>
      <c r="K73" s="113"/>
      <c r="L73" s="113"/>
      <c r="M73" s="113"/>
      <c r="N73" s="113"/>
      <c r="O73" s="113"/>
      <c r="P73" s="113"/>
      <c r="Q73" s="113"/>
      <c r="R73" s="113"/>
      <c r="S73" s="113"/>
      <c r="T73" s="113"/>
      <c r="U73" s="113"/>
      <c r="V73" s="113"/>
      <c r="W73" s="113"/>
      <c r="X73" s="113"/>
      <c r="Y73" s="113"/>
      <c r="Z73" s="113"/>
      <c r="AA73" s="113"/>
      <c r="AB73" s="113"/>
      <c r="AC73" s="113"/>
      <c r="AD73" s="113"/>
      <c r="AE73" s="113"/>
      <c r="AF73" s="113"/>
      <c r="AG73" s="113"/>
      <c r="AH73" s="113"/>
      <c r="AI73" s="113"/>
      <c r="AJ73" s="113"/>
      <c r="AK73" s="113"/>
      <c r="AL73" s="113"/>
      <c r="AM73" s="113"/>
      <c r="AN73" s="113"/>
      <c r="AO73" s="113"/>
      <c r="AP73" s="113"/>
      <c r="AQ73" s="113"/>
      <c r="AR73" s="113"/>
      <c r="AS73" s="113"/>
      <c r="AT73" s="113"/>
      <c r="AU73" s="113"/>
      <c r="AV73" s="113"/>
      <c r="AW73" s="113"/>
      <c r="AX73" s="113"/>
      <c r="AY73" s="113"/>
      <c r="AZ73" s="113"/>
      <c r="BA73" s="113"/>
      <c r="BB73" s="113"/>
      <c r="BC73" s="113"/>
      <c r="BD73" s="113"/>
      <c r="BE73" s="113"/>
      <c r="BF73" s="113"/>
      <c r="BG73" s="113"/>
      <c r="BH73" s="113"/>
      <c r="BI73" s="113"/>
      <c r="BJ73" s="113"/>
    </row>
    <row r="74" spans="1:62" x14ac:dyDescent="0.2">
      <c r="A74" s="113"/>
      <c r="B74" s="113"/>
      <c r="C74" s="114"/>
      <c r="D74" s="113"/>
      <c r="E74" s="113"/>
      <c r="F74" s="113"/>
      <c r="G74" s="113"/>
      <c r="H74" s="113"/>
      <c r="I74" s="113"/>
      <c r="J74" s="113"/>
      <c r="K74" s="113"/>
      <c r="L74" s="113"/>
      <c r="M74" s="113"/>
      <c r="N74" s="113"/>
      <c r="O74" s="113"/>
      <c r="P74" s="113"/>
      <c r="Q74" s="113"/>
      <c r="R74" s="113"/>
      <c r="S74" s="113"/>
      <c r="T74" s="113"/>
      <c r="U74" s="113"/>
      <c r="V74" s="113"/>
      <c r="W74" s="113"/>
      <c r="X74" s="113"/>
      <c r="Y74" s="113"/>
      <c r="Z74" s="113"/>
      <c r="AA74" s="113"/>
      <c r="AB74" s="113"/>
      <c r="AC74" s="113"/>
      <c r="AD74" s="113"/>
      <c r="AE74" s="113"/>
      <c r="AF74" s="113"/>
      <c r="AG74" s="113"/>
      <c r="AH74" s="113"/>
      <c r="AI74" s="113"/>
      <c r="AJ74" s="113"/>
      <c r="AK74" s="113"/>
      <c r="AL74" s="113"/>
      <c r="AM74" s="113"/>
      <c r="AN74" s="113"/>
      <c r="AO74" s="113"/>
      <c r="AP74" s="113"/>
      <c r="AQ74" s="113"/>
      <c r="AR74" s="113"/>
      <c r="AS74" s="113"/>
      <c r="AT74" s="113"/>
      <c r="AU74" s="113"/>
      <c r="AV74" s="113"/>
      <c r="AW74" s="113"/>
      <c r="AX74" s="113"/>
      <c r="AY74" s="113"/>
      <c r="AZ74" s="113"/>
      <c r="BA74" s="113"/>
      <c r="BB74" s="113"/>
      <c r="BC74" s="113"/>
      <c r="BD74" s="113"/>
      <c r="BE74" s="113"/>
      <c r="BF74" s="113"/>
      <c r="BG74" s="113"/>
      <c r="BH74" s="113"/>
      <c r="BI74" s="113"/>
      <c r="BJ74" s="113"/>
    </row>
    <row r="75" spans="1:62" x14ac:dyDescent="0.2">
      <c r="A75" s="113"/>
      <c r="B75" s="113"/>
      <c r="C75" s="114"/>
      <c r="D75" s="113"/>
      <c r="E75" s="113"/>
      <c r="F75" s="113"/>
      <c r="G75" s="113"/>
      <c r="H75" s="113"/>
      <c r="I75" s="113"/>
      <c r="J75" s="113"/>
      <c r="K75" s="113"/>
      <c r="L75" s="113"/>
      <c r="M75" s="113"/>
      <c r="N75" s="113"/>
      <c r="O75" s="113"/>
      <c r="P75" s="113"/>
      <c r="Q75" s="113"/>
      <c r="R75" s="113"/>
      <c r="S75" s="113"/>
      <c r="T75" s="113"/>
      <c r="U75" s="113"/>
      <c r="V75" s="113"/>
      <c r="W75" s="113"/>
      <c r="X75" s="113"/>
      <c r="Y75" s="113"/>
      <c r="Z75" s="113"/>
      <c r="AA75" s="113"/>
      <c r="AB75" s="113"/>
      <c r="AC75" s="113"/>
      <c r="AD75" s="113"/>
      <c r="AE75" s="113"/>
      <c r="AF75" s="113"/>
      <c r="AG75" s="113"/>
      <c r="AH75" s="113"/>
      <c r="AI75" s="113"/>
      <c r="AJ75" s="113"/>
      <c r="AK75" s="113"/>
      <c r="AL75" s="113"/>
      <c r="AM75" s="113"/>
      <c r="AN75" s="113"/>
      <c r="AO75" s="113"/>
      <c r="AP75" s="113"/>
      <c r="AQ75" s="113"/>
      <c r="AR75" s="113"/>
      <c r="AS75" s="113"/>
      <c r="AT75" s="113"/>
      <c r="AU75" s="113"/>
      <c r="AV75" s="113"/>
      <c r="AW75" s="113"/>
      <c r="AX75" s="113"/>
      <c r="AY75" s="113"/>
      <c r="AZ75" s="113"/>
      <c r="BA75" s="113"/>
      <c r="BB75" s="113"/>
      <c r="BC75" s="113"/>
      <c r="BD75" s="113"/>
      <c r="BE75" s="113"/>
      <c r="BF75" s="113"/>
      <c r="BG75" s="113"/>
      <c r="BH75" s="113"/>
      <c r="BI75" s="113"/>
      <c r="BJ75" s="113"/>
    </row>
    <row r="76" spans="1:62" x14ac:dyDescent="0.2">
      <c r="A76" s="113"/>
      <c r="B76" s="113"/>
      <c r="C76" s="114"/>
      <c r="D76" s="113"/>
      <c r="E76" s="113"/>
      <c r="F76" s="113"/>
      <c r="G76" s="113"/>
      <c r="H76" s="113"/>
      <c r="I76" s="113"/>
      <c r="J76" s="113"/>
      <c r="K76" s="113"/>
      <c r="L76" s="113"/>
      <c r="M76" s="113"/>
      <c r="N76" s="113"/>
      <c r="O76" s="113"/>
      <c r="P76" s="113"/>
      <c r="Q76" s="113"/>
      <c r="R76" s="113"/>
      <c r="S76" s="113"/>
      <c r="T76" s="113"/>
      <c r="U76" s="113"/>
      <c r="V76" s="113"/>
      <c r="W76" s="113"/>
      <c r="X76" s="113"/>
      <c r="Y76" s="113"/>
      <c r="Z76" s="113"/>
      <c r="AA76" s="113"/>
      <c r="AB76" s="113"/>
      <c r="AC76" s="113"/>
      <c r="AD76" s="113"/>
      <c r="AE76" s="113"/>
      <c r="AF76" s="113"/>
      <c r="AG76" s="113"/>
      <c r="AH76" s="113"/>
      <c r="AI76" s="113"/>
      <c r="AJ76" s="113"/>
      <c r="AK76" s="113"/>
      <c r="AL76" s="113"/>
      <c r="AM76" s="113"/>
      <c r="AN76" s="113"/>
      <c r="AO76" s="113"/>
      <c r="AP76" s="113"/>
      <c r="AQ76" s="113"/>
      <c r="AR76" s="113"/>
      <c r="AS76" s="113"/>
      <c r="AT76" s="113"/>
      <c r="AU76" s="113"/>
      <c r="AV76" s="113"/>
      <c r="AW76" s="113"/>
      <c r="AX76" s="113"/>
      <c r="AY76" s="113"/>
      <c r="AZ76" s="113"/>
      <c r="BA76" s="113"/>
      <c r="BB76" s="113"/>
      <c r="BC76" s="113"/>
      <c r="BD76" s="113"/>
      <c r="BE76" s="113"/>
      <c r="BF76" s="113"/>
      <c r="BG76" s="113"/>
      <c r="BH76" s="113"/>
      <c r="BI76" s="113"/>
      <c r="BJ76" s="113"/>
    </row>
    <row r="77" spans="1:62" x14ac:dyDescent="0.2">
      <c r="A77" s="113"/>
      <c r="B77" s="113"/>
      <c r="C77" s="114"/>
      <c r="D77" s="113"/>
      <c r="E77" s="113"/>
      <c r="F77" s="113"/>
      <c r="G77" s="113"/>
      <c r="H77" s="113"/>
      <c r="I77" s="113"/>
      <c r="J77" s="113"/>
      <c r="K77" s="113"/>
      <c r="L77" s="113"/>
      <c r="M77" s="113"/>
      <c r="N77" s="113"/>
      <c r="O77" s="113"/>
      <c r="P77" s="113"/>
      <c r="Q77" s="113"/>
      <c r="R77" s="113"/>
      <c r="S77" s="113"/>
      <c r="T77" s="113"/>
      <c r="U77" s="113"/>
      <c r="V77" s="113"/>
      <c r="W77" s="113"/>
      <c r="X77" s="113"/>
      <c r="Y77" s="113"/>
      <c r="Z77" s="113"/>
      <c r="AA77" s="113"/>
      <c r="AB77" s="113"/>
      <c r="AC77" s="113"/>
      <c r="AD77" s="113"/>
      <c r="AE77" s="113"/>
      <c r="AF77" s="113"/>
      <c r="AG77" s="113"/>
      <c r="AH77" s="113"/>
      <c r="AI77" s="113"/>
      <c r="AJ77" s="113"/>
      <c r="AK77" s="113"/>
      <c r="AL77" s="113"/>
      <c r="AM77" s="113"/>
      <c r="AN77" s="113"/>
      <c r="AO77" s="113"/>
      <c r="AP77" s="113"/>
      <c r="AQ77" s="113"/>
      <c r="AR77" s="113"/>
      <c r="AS77" s="113"/>
      <c r="AT77" s="113"/>
      <c r="AU77" s="113"/>
      <c r="AV77" s="113"/>
      <c r="AW77" s="113"/>
      <c r="AX77" s="113"/>
      <c r="AY77" s="113"/>
      <c r="AZ77" s="113"/>
      <c r="BA77" s="113"/>
      <c r="BB77" s="113"/>
      <c r="BC77" s="113"/>
      <c r="BD77" s="113"/>
      <c r="BE77" s="113"/>
      <c r="BF77" s="113"/>
      <c r="BG77" s="113"/>
      <c r="BH77" s="113"/>
      <c r="BI77" s="113"/>
      <c r="BJ77" s="113"/>
    </row>
    <row r="78" spans="1:62" x14ac:dyDescent="0.2">
      <c r="A78" s="113"/>
      <c r="B78" s="113"/>
      <c r="C78" s="114"/>
      <c r="D78" s="113"/>
      <c r="E78" s="113"/>
      <c r="F78" s="113"/>
      <c r="G78" s="113"/>
      <c r="H78" s="113"/>
      <c r="I78" s="113"/>
      <c r="J78" s="113"/>
      <c r="K78" s="113"/>
      <c r="L78" s="113"/>
      <c r="M78" s="113"/>
      <c r="N78" s="113"/>
      <c r="O78" s="113"/>
      <c r="P78" s="113"/>
      <c r="Q78" s="113"/>
      <c r="R78" s="113"/>
      <c r="S78" s="113"/>
      <c r="T78" s="113"/>
      <c r="U78" s="113"/>
      <c r="V78" s="113"/>
      <c r="W78" s="113"/>
      <c r="X78" s="113"/>
      <c r="Y78" s="113"/>
      <c r="Z78" s="113"/>
      <c r="AA78" s="113"/>
      <c r="AB78" s="113"/>
      <c r="AC78" s="113"/>
      <c r="AD78" s="113"/>
      <c r="AE78" s="113"/>
      <c r="AF78" s="113"/>
      <c r="AG78" s="113"/>
      <c r="AH78" s="113"/>
      <c r="AI78" s="113"/>
      <c r="AJ78" s="113"/>
      <c r="AK78" s="113"/>
      <c r="AL78" s="113"/>
      <c r="AM78" s="113"/>
      <c r="AN78" s="113"/>
      <c r="AO78" s="113"/>
      <c r="AP78" s="113"/>
      <c r="AQ78" s="113"/>
      <c r="AR78" s="113"/>
      <c r="AS78" s="113"/>
      <c r="AT78" s="113"/>
      <c r="AU78" s="113"/>
      <c r="AV78" s="113"/>
      <c r="AW78" s="113"/>
      <c r="AX78" s="113"/>
      <c r="AY78" s="113"/>
      <c r="AZ78" s="113"/>
      <c r="BA78" s="113"/>
      <c r="BB78" s="113"/>
      <c r="BC78" s="113"/>
      <c r="BD78" s="113"/>
      <c r="BE78" s="113"/>
      <c r="BF78" s="113"/>
      <c r="BG78" s="113"/>
      <c r="BH78" s="113"/>
      <c r="BI78" s="113"/>
      <c r="BJ78" s="113"/>
    </row>
    <row r="79" spans="1:62" x14ac:dyDescent="0.2">
      <c r="A79" s="113"/>
      <c r="B79" s="113"/>
      <c r="C79" s="114"/>
      <c r="D79" s="113"/>
      <c r="E79" s="113"/>
      <c r="F79" s="113"/>
      <c r="G79" s="113"/>
      <c r="H79" s="113"/>
      <c r="I79" s="113"/>
      <c r="J79" s="113"/>
      <c r="K79" s="113"/>
      <c r="L79" s="113"/>
      <c r="M79" s="113"/>
      <c r="N79" s="113"/>
      <c r="O79" s="113"/>
      <c r="P79" s="113"/>
      <c r="Q79" s="113"/>
      <c r="R79" s="113"/>
      <c r="S79" s="113"/>
      <c r="T79" s="113"/>
      <c r="U79" s="113"/>
      <c r="V79" s="113"/>
      <c r="W79" s="113"/>
      <c r="X79" s="113"/>
      <c r="Y79" s="113"/>
      <c r="Z79" s="113"/>
      <c r="AA79" s="113"/>
      <c r="AB79" s="113"/>
      <c r="AC79" s="113"/>
      <c r="AD79" s="113"/>
      <c r="AE79" s="113"/>
      <c r="AF79" s="113"/>
      <c r="AG79" s="113"/>
      <c r="AH79" s="113"/>
      <c r="AI79" s="113"/>
      <c r="AJ79" s="113"/>
      <c r="AK79" s="113"/>
      <c r="AL79" s="113"/>
      <c r="AM79" s="113"/>
      <c r="AN79" s="113"/>
      <c r="AO79" s="113"/>
      <c r="AP79" s="113"/>
      <c r="AQ79" s="113"/>
      <c r="AR79" s="113"/>
      <c r="AS79" s="113"/>
      <c r="AT79" s="113"/>
      <c r="AU79" s="113"/>
      <c r="AV79" s="113"/>
      <c r="AW79" s="113"/>
      <c r="AX79" s="113"/>
      <c r="AY79" s="113"/>
      <c r="AZ79" s="113"/>
      <c r="BA79" s="113"/>
      <c r="BB79" s="113"/>
      <c r="BC79" s="113"/>
      <c r="BD79" s="113"/>
      <c r="BE79" s="113"/>
      <c r="BF79" s="113"/>
      <c r="BG79" s="113"/>
      <c r="BH79" s="113"/>
      <c r="BI79" s="113"/>
      <c r="BJ79" s="113"/>
    </row>
    <row r="80" spans="1:62" x14ac:dyDescent="0.2">
      <c r="A80" s="113"/>
      <c r="B80" s="113"/>
      <c r="C80" s="114"/>
      <c r="D80" s="113"/>
      <c r="E80" s="113"/>
      <c r="F80" s="113"/>
      <c r="G80" s="113"/>
      <c r="H80" s="113"/>
      <c r="I80" s="113"/>
      <c r="J80" s="113"/>
      <c r="K80" s="113"/>
      <c r="L80" s="113"/>
      <c r="M80" s="113"/>
      <c r="N80" s="113"/>
      <c r="O80" s="113"/>
      <c r="P80" s="113"/>
      <c r="Q80" s="113"/>
      <c r="R80" s="113"/>
      <c r="S80" s="113"/>
      <c r="T80" s="113"/>
      <c r="U80" s="113"/>
      <c r="V80" s="113"/>
      <c r="W80" s="113"/>
      <c r="X80" s="113"/>
      <c r="Y80" s="113"/>
      <c r="Z80" s="113"/>
      <c r="AA80" s="113"/>
      <c r="AB80" s="113"/>
      <c r="AC80" s="113"/>
      <c r="AD80" s="113"/>
      <c r="AE80" s="113"/>
      <c r="AF80" s="113"/>
      <c r="AG80" s="113"/>
      <c r="AH80" s="113"/>
      <c r="AI80" s="113"/>
      <c r="AJ80" s="113"/>
      <c r="AK80" s="113"/>
      <c r="AL80" s="113"/>
      <c r="AM80" s="113"/>
      <c r="AN80" s="113"/>
      <c r="AO80" s="113"/>
      <c r="AP80" s="113"/>
      <c r="AQ80" s="113"/>
      <c r="AR80" s="113"/>
      <c r="AS80" s="113"/>
      <c r="AT80" s="113"/>
      <c r="AU80" s="113"/>
      <c r="AV80" s="113"/>
      <c r="AW80" s="113"/>
      <c r="AX80" s="113"/>
      <c r="AY80" s="113"/>
      <c r="AZ80" s="113"/>
      <c r="BA80" s="113"/>
      <c r="BB80" s="113"/>
      <c r="BC80" s="113"/>
      <c r="BD80" s="113"/>
      <c r="BE80" s="113"/>
      <c r="BF80" s="113"/>
      <c r="BG80" s="113"/>
      <c r="BH80" s="113"/>
      <c r="BI80" s="113"/>
      <c r="BJ80" s="113"/>
    </row>
    <row r="81" spans="1:62" x14ac:dyDescent="0.2">
      <c r="A81" s="113"/>
      <c r="B81" s="113"/>
      <c r="C81" s="114"/>
      <c r="D81" s="113"/>
      <c r="E81" s="113"/>
      <c r="F81" s="113"/>
      <c r="G81" s="113"/>
      <c r="H81" s="113"/>
      <c r="I81" s="113"/>
      <c r="J81" s="113"/>
      <c r="K81" s="113"/>
      <c r="L81" s="113"/>
      <c r="M81" s="113"/>
      <c r="N81" s="113"/>
      <c r="O81" s="113"/>
      <c r="P81" s="113"/>
      <c r="Q81" s="113"/>
      <c r="R81" s="113"/>
      <c r="S81" s="113"/>
      <c r="T81" s="113"/>
      <c r="U81" s="113"/>
      <c r="V81" s="113"/>
      <c r="W81" s="113"/>
      <c r="X81" s="113"/>
      <c r="Y81" s="113"/>
      <c r="Z81" s="113"/>
      <c r="AA81" s="113"/>
      <c r="AB81" s="113"/>
      <c r="AC81" s="113"/>
      <c r="AD81" s="113"/>
      <c r="AE81" s="113"/>
      <c r="AF81" s="113"/>
      <c r="AG81" s="113"/>
      <c r="AH81" s="113"/>
      <c r="AI81" s="113"/>
      <c r="AJ81" s="113"/>
      <c r="AK81" s="113"/>
      <c r="AL81" s="113"/>
      <c r="AM81" s="113"/>
      <c r="AN81" s="113"/>
      <c r="AO81" s="113"/>
      <c r="AP81" s="113"/>
      <c r="AQ81" s="113"/>
      <c r="AR81" s="113"/>
      <c r="AS81" s="113"/>
      <c r="AT81" s="113"/>
      <c r="AU81" s="113"/>
      <c r="AV81" s="113"/>
      <c r="AW81" s="113"/>
      <c r="AX81" s="113"/>
      <c r="AY81" s="113"/>
      <c r="AZ81" s="113"/>
      <c r="BA81" s="113"/>
      <c r="BB81" s="113"/>
      <c r="BC81" s="113"/>
      <c r="BD81" s="113"/>
      <c r="BE81" s="113"/>
      <c r="BF81" s="113"/>
      <c r="BG81" s="113"/>
      <c r="BH81" s="113"/>
      <c r="BI81" s="113"/>
      <c r="BJ81" s="113"/>
    </row>
    <row r="82" spans="1:62" x14ac:dyDescent="0.2">
      <c r="A82" s="113"/>
      <c r="B82" s="113"/>
      <c r="C82" s="114"/>
      <c r="D82" s="113"/>
      <c r="E82" s="113"/>
      <c r="F82" s="113"/>
      <c r="G82" s="113"/>
      <c r="H82" s="113"/>
      <c r="I82" s="113"/>
      <c r="J82" s="113"/>
      <c r="K82" s="113"/>
      <c r="L82" s="113"/>
      <c r="M82" s="113"/>
      <c r="N82" s="113"/>
      <c r="O82" s="113"/>
      <c r="P82" s="113"/>
      <c r="Q82" s="113"/>
      <c r="R82" s="113"/>
      <c r="S82" s="113"/>
      <c r="T82" s="113"/>
      <c r="U82" s="113"/>
      <c r="V82" s="113"/>
      <c r="W82" s="113"/>
      <c r="X82" s="113"/>
      <c r="Y82" s="113"/>
      <c r="Z82" s="113"/>
      <c r="AA82" s="113"/>
      <c r="AB82" s="113"/>
      <c r="AC82" s="113"/>
      <c r="AD82" s="113"/>
      <c r="AE82" s="113"/>
      <c r="AF82" s="113"/>
      <c r="AG82" s="113"/>
      <c r="AH82" s="113"/>
      <c r="AI82" s="113"/>
      <c r="AJ82" s="113"/>
      <c r="AK82" s="113"/>
      <c r="AL82" s="113"/>
      <c r="AM82" s="113"/>
      <c r="AN82" s="113"/>
      <c r="AO82" s="113"/>
      <c r="AP82" s="113"/>
      <c r="AQ82" s="113"/>
      <c r="AR82" s="113"/>
      <c r="AS82" s="113"/>
      <c r="AT82" s="113"/>
      <c r="AU82" s="113"/>
      <c r="AV82" s="113"/>
      <c r="AW82" s="113"/>
      <c r="AX82" s="113"/>
      <c r="AY82" s="113"/>
      <c r="AZ82" s="113"/>
      <c r="BA82" s="113"/>
      <c r="BB82" s="113"/>
      <c r="BC82" s="113"/>
      <c r="BD82" s="113"/>
      <c r="BE82" s="113"/>
      <c r="BF82" s="113"/>
      <c r="BG82" s="113"/>
      <c r="BH82" s="113"/>
      <c r="BI82" s="113"/>
      <c r="BJ82" s="113"/>
    </row>
    <row r="83" spans="1:62" x14ac:dyDescent="0.2">
      <c r="A83" s="113"/>
      <c r="B83" s="113"/>
      <c r="C83" s="114"/>
      <c r="D83" s="113"/>
      <c r="E83" s="113"/>
      <c r="F83" s="113"/>
      <c r="G83" s="113"/>
      <c r="H83" s="113"/>
      <c r="I83" s="113"/>
      <c r="J83" s="113"/>
      <c r="K83" s="113"/>
      <c r="L83" s="113"/>
      <c r="M83" s="113"/>
      <c r="N83" s="113"/>
      <c r="O83" s="113"/>
      <c r="P83" s="113"/>
      <c r="Q83" s="113"/>
      <c r="R83" s="113"/>
      <c r="S83" s="113"/>
      <c r="T83" s="113"/>
      <c r="U83" s="113"/>
      <c r="V83" s="113"/>
      <c r="W83" s="113"/>
      <c r="X83" s="113"/>
      <c r="Y83" s="113"/>
      <c r="Z83" s="113"/>
      <c r="AA83" s="113"/>
      <c r="AB83" s="113"/>
      <c r="AC83" s="113"/>
      <c r="AD83" s="113"/>
      <c r="AE83" s="113"/>
      <c r="AF83" s="113"/>
      <c r="AG83" s="113"/>
      <c r="AH83" s="113"/>
      <c r="AI83" s="113"/>
      <c r="AJ83" s="113"/>
      <c r="AK83" s="113"/>
      <c r="AL83" s="113"/>
      <c r="AM83" s="113"/>
      <c r="AN83" s="113"/>
      <c r="AO83" s="113"/>
      <c r="AP83" s="113"/>
      <c r="AQ83" s="113"/>
      <c r="AR83" s="113"/>
      <c r="AS83" s="113"/>
      <c r="AT83" s="113"/>
      <c r="AU83" s="113"/>
      <c r="AV83" s="113"/>
      <c r="AW83" s="113"/>
      <c r="AX83" s="113"/>
      <c r="AY83" s="113"/>
      <c r="AZ83" s="113"/>
      <c r="BA83" s="113"/>
      <c r="BB83" s="113"/>
      <c r="BC83" s="113"/>
      <c r="BD83" s="113"/>
      <c r="BE83" s="113"/>
      <c r="BF83" s="113"/>
      <c r="BG83" s="113"/>
      <c r="BH83" s="113"/>
      <c r="BI83" s="113"/>
      <c r="BJ83" s="113"/>
    </row>
    <row r="84" spans="1:62" x14ac:dyDescent="0.2">
      <c r="A84" s="113"/>
      <c r="B84" s="113"/>
      <c r="C84" s="114"/>
      <c r="D84" s="113"/>
      <c r="E84" s="113"/>
      <c r="F84" s="113"/>
      <c r="G84" s="113"/>
      <c r="H84" s="113"/>
      <c r="I84" s="113"/>
      <c r="J84" s="113"/>
      <c r="K84" s="113"/>
      <c r="L84" s="113"/>
      <c r="M84" s="113"/>
      <c r="N84" s="113"/>
      <c r="O84" s="113"/>
      <c r="P84" s="113"/>
      <c r="Q84" s="113"/>
      <c r="R84" s="113"/>
      <c r="S84" s="113"/>
      <c r="T84" s="113"/>
      <c r="U84" s="113"/>
      <c r="V84" s="113"/>
      <c r="W84" s="113"/>
      <c r="X84" s="113"/>
      <c r="Y84" s="113"/>
      <c r="Z84" s="113"/>
      <c r="AA84" s="113"/>
      <c r="AB84" s="113"/>
      <c r="AC84" s="113"/>
      <c r="AD84" s="113"/>
      <c r="AE84" s="113"/>
      <c r="AF84" s="113"/>
      <c r="AG84" s="113"/>
      <c r="AH84" s="113"/>
      <c r="AI84" s="113"/>
      <c r="AJ84" s="113"/>
      <c r="AK84" s="113"/>
      <c r="AL84" s="113"/>
      <c r="AM84" s="113"/>
      <c r="AN84" s="113"/>
      <c r="AO84" s="113"/>
      <c r="AP84" s="113"/>
      <c r="AQ84" s="113"/>
      <c r="AR84" s="113"/>
      <c r="AS84" s="113"/>
      <c r="AT84" s="113"/>
      <c r="AU84" s="113"/>
      <c r="AV84" s="113"/>
      <c r="AW84" s="113"/>
      <c r="AX84" s="113"/>
      <c r="AY84" s="113"/>
      <c r="AZ84" s="113"/>
      <c r="BA84" s="113"/>
      <c r="BB84" s="113"/>
      <c r="BC84" s="113"/>
      <c r="BD84" s="113"/>
      <c r="BE84" s="113"/>
      <c r="BF84" s="113"/>
      <c r="BG84" s="113"/>
      <c r="BH84" s="113"/>
      <c r="BI84" s="113"/>
      <c r="BJ84" s="113"/>
    </row>
    <row r="85" spans="1:62" x14ac:dyDescent="0.2">
      <c r="A85" s="113"/>
      <c r="B85" s="113"/>
      <c r="C85" s="114"/>
      <c r="D85" s="113"/>
      <c r="E85" s="113"/>
      <c r="F85" s="113"/>
      <c r="G85" s="113"/>
      <c r="H85" s="113"/>
      <c r="I85" s="113"/>
      <c r="J85" s="113"/>
      <c r="K85" s="113"/>
      <c r="L85" s="113"/>
      <c r="M85" s="113"/>
      <c r="N85" s="113"/>
      <c r="O85" s="113"/>
      <c r="P85" s="113"/>
      <c r="Q85" s="113"/>
      <c r="R85" s="113"/>
      <c r="S85" s="113"/>
      <c r="T85" s="113"/>
      <c r="U85" s="113"/>
      <c r="V85" s="113"/>
      <c r="W85" s="113"/>
      <c r="X85" s="113"/>
      <c r="Y85" s="113"/>
      <c r="Z85" s="113"/>
      <c r="AA85" s="113"/>
      <c r="AB85" s="113"/>
      <c r="AC85" s="113"/>
      <c r="AD85" s="113"/>
      <c r="AE85" s="113"/>
      <c r="AF85" s="113"/>
      <c r="AG85" s="113"/>
      <c r="AH85" s="113"/>
      <c r="AI85" s="113"/>
      <c r="AJ85" s="113"/>
      <c r="AK85" s="113"/>
      <c r="AL85" s="113"/>
      <c r="AM85" s="113"/>
      <c r="AN85" s="113"/>
      <c r="AO85" s="113"/>
      <c r="AP85" s="113"/>
      <c r="AQ85" s="113"/>
      <c r="AR85" s="113"/>
      <c r="AS85" s="113"/>
      <c r="AT85" s="113"/>
      <c r="AU85" s="113"/>
      <c r="AV85" s="113"/>
      <c r="AW85" s="113"/>
      <c r="AX85" s="113"/>
      <c r="AY85" s="113"/>
      <c r="AZ85" s="113"/>
      <c r="BA85" s="113"/>
      <c r="BB85" s="113"/>
      <c r="BC85" s="113"/>
      <c r="BD85" s="113"/>
      <c r="BE85" s="113"/>
      <c r="BF85" s="113"/>
      <c r="BG85" s="113"/>
      <c r="BH85" s="113"/>
      <c r="BI85" s="113"/>
      <c r="BJ85" s="113"/>
    </row>
    <row r="86" spans="1:62" x14ac:dyDescent="0.2">
      <c r="A86" s="113"/>
      <c r="B86" s="113"/>
      <c r="C86" s="114"/>
      <c r="D86" s="113"/>
      <c r="E86" s="113"/>
      <c r="F86" s="113"/>
      <c r="G86" s="113"/>
      <c r="H86" s="113"/>
      <c r="I86" s="113"/>
      <c r="J86" s="113"/>
      <c r="K86" s="113"/>
      <c r="L86" s="113"/>
      <c r="M86" s="113"/>
      <c r="N86" s="113"/>
      <c r="O86" s="113"/>
      <c r="P86" s="113"/>
      <c r="Q86" s="113"/>
      <c r="R86" s="113"/>
      <c r="S86" s="113"/>
      <c r="T86" s="113"/>
      <c r="U86" s="113"/>
      <c r="V86" s="113"/>
      <c r="W86" s="113"/>
      <c r="X86" s="113"/>
      <c r="Y86" s="113"/>
      <c r="Z86" s="113"/>
      <c r="AA86" s="113"/>
      <c r="AB86" s="113"/>
      <c r="AC86" s="113"/>
      <c r="AD86" s="113"/>
      <c r="AE86" s="113"/>
      <c r="AF86" s="113"/>
      <c r="AG86" s="113"/>
      <c r="AH86" s="113"/>
      <c r="AI86" s="113"/>
      <c r="AJ86" s="113"/>
      <c r="AK86" s="113"/>
      <c r="AL86" s="113"/>
      <c r="AM86" s="113"/>
      <c r="AN86" s="113"/>
      <c r="AO86" s="113"/>
      <c r="AP86" s="113"/>
      <c r="AQ86" s="113"/>
      <c r="AR86" s="113"/>
      <c r="AS86" s="113"/>
      <c r="AT86" s="113"/>
      <c r="AU86" s="113"/>
      <c r="AV86" s="113"/>
      <c r="AW86" s="113"/>
      <c r="AX86" s="113"/>
      <c r="AY86" s="113"/>
      <c r="AZ86" s="113"/>
      <c r="BA86" s="113"/>
      <c r="BB86" s="113"/>
      <c r="BC86" s="113"/>
      <c r="BD86" s="113"/>
      <c r="BE86" s="113"/>
      <c r="BF86" s="113"/>
      <c r="BG86" s="113"/>
      <c r="BH86" s="113"/>
      <c r="BI86" s="113"/>
      <c r="BJ86" s="113"/>
    </row>
    <row r="87" spans="1:62" x14ac:dyDescent="0.2">
      <c r="A87" s="113"/>
      <c r="B87" s="113"/>
      <c r="C87" s="114"/>
      <c r="D87" s="113"/>
      <c r="E87" s="113"/>
      <c r="F87" s="113"/>
      <c r="G87" s="113"/>
      <c r="H87" s="113"/>
      <c r="I87" s="113"/>
      <c r="J87" s="113"/>
      <c r="K87" s="113"/>
      <c r="L87" s="113"/>
      <c r="M87" s="113"/>
      <c r="N87" s="113"/>
      <c r="O87" s="113"/>
      <c r="P87" s="113"/>
      <c r="Q87" s="113"/>
      <c r="R87" s="113"/>
      <c r="S87" s="113"/>
      <c r="T87" s="113"/>
      <c r="U87" s="113"/>
      <c r="V87" s="113"/>
      <c r="W87" s="113"/>
      <c r="X87" s="113"/>
      <c r="Y87" s="113"/>
      <c r="Z87" s="113"/>
      <c r="AA87" s="113"/>
      <c r="AB87" s="113"/>
      <c r="AC87" s="113"/>
      <c r="AD87" s="113"/>
      <c r="AE87" s="113"/>
      <c r="AF87" s="113"/>
      <c r="AG87" s="113"/>
      <c r="AH87" s="113"/>
      <c r="AI87" s="113"/>
      <c r="AJ87" s="113"/>
      <c r="AK87" s="113"/>
      <c r="AL87" s="113"/>
      <c r="AM87" s="113"/>
      <c r="AN87" s="113"/>
      <c r="AO87" s="113"/>
      <c r="AP87" s="113"/>
      <c r="AQ87" s="113"/>
      <c r="AR87" s="113"/>
      <c r="AS87" s="113"/>
      <c r="AT87" s="113"/>
      <c r="AU87" s="113"/>
      <c r="AV87" s="113"/>
      <c r="AW87" s="113"/>
      <c r="AX87" s="113"/>
      <c r="AY87" s="113"/>
      <c r="AZ87" s="113"/>
      <c r="BA87" s="113"/>
      <c r="BB87" s="113"/>
      <c r="BC87" s="113"/>
      <c r="BD87" s="113"/>
      <c r="BE87" s="113"/>
      <c r="BF87" s="113"/>
      <c r="BG87" s="113"/>
      <c r="BH87" s="113"/>
      <c r="BI87" s="113"/>
      <c r="BJ87" s="113"/>
    </row>
    <row r="88" spans="1:62" x14ac:dyDescent="0.2">
      <c r="A88" s="113"/>
      <c r="B88" s="113"/>
      <c r="C88" s="114"/>
      <c r="D88" s="113"/>
      <c r="E88" s="113"/>
      <c r="F88" s="113"/>
      <c r="G88" s="113"/>
      <c r="H88" s="113"/>
      <c r="I88" s="113"/>
      <c r="J88" s="113"/>
      <c r="K88" s="113"/>
      <c r="L88" s="113"/>
      <c r="M88" s="113"/>
      <c r="N88" s="113"/>
      <c r="O88" s="113"/>
      <c r="P88" s="113"/>
      <c r="Q88" s="113"/>
      <c r="R88" s="113"/>
      <c r="S88" s="113"/>
      <c r="T88" s="113"/>
      <c r="U88" s="113"/>
      <c r="V88" s="113"/>
      <c r="W88" s="113"/>
      <c r="X88" s="113"/>
      <c r="Y88" s="113"/>
      <c r="Z88" s="113"/>
      <c r="AA88" s="113"/>
      <c r="AB88" s="113"/>
      <c r="AC88" s="113"/>
      <c r="AD88" s="113"/>
      <c r="AE88" s="113"/>
      <c r="AF88" s="113"/>
      <c r="AG88" s="113"/>
      <c r="AH88" s="113"/>
      <c r="AI88" s="113"/>
      <c r="AJ88" s="113"/>
      <c r="AK88" s="113"/>
      <c r="AL88" s="113"/>
      <c r="AM88" s="113"/>
      <c r="AN88" s="113"/>
      <c r="AO88" s="113"/>
      <c r="AP88" s="113"/>
      <c r="AQ88" s="113"/>
      <c r="AR88" s="113"/>
      <c r="AS88" s="113"/>
      <c r="AT88" s="113"/>
      <c r="AU88" s="113"/>
      <c r="AV88" s="113"/>
      <c r="AW88" s="113"/>
      <c r="AX88" s="113"/>
      <c r="AY88" s="113"/>
      <c r="AZ88" s="113"/>
      <c r="BA88" s="113"/>
      <c r="BB88" s="113"/>
      <c r="BC88" s="113"/>
      <c r="BD88" s="113"/>
      <c r="BE88" s="113"/>
      <c r="BF88" s="113"/>
      <c r="BG88" s="113"/>
      <c r="BH88" s="113"/>
      <c r="BI88" s="113"/>
      <c r="BJ88" s="113"/>
    </row>
    <row r="89" spans="1:62" x14ac:dyDescent="0.2">
      <c r="A89" s="113"/>
      <c r="B89" s="113"/>
      <c r="C89" s="114"/>
      <c r="D89" s="113"/>
      <c r="E89" s="113"/>
      <c r="F89" s="113"/>
      <c r="G89" s="113"/>
      <c r="H89" s="113"/>
      <c r="I89" s="113"/>
      <c r="J89" s="113"/>
      <c r="K89" s="113"/>
      <c r="L89" s="113"/>
      <c r="M89" s="113"/>
      <c r="N89" s="113"/>
      <c r="O89" s="113"/>
      <c r="P89" s="113"/>
      <c r="Q89" s="113"/>
      <c r="R89" s="113"/>
      <c r="S89" s="113"/>
      <c r="T89" s="113"/>
      <c r="U89" s="113"/>
      <c r="V89" s="113"/>
      <c r="W89" s="113"/>
      <c r="X89" s="113"/>
      <c r="Y89" s="113"/>
      <c r="Z89" s="113"/>
      <c r="AA89" s="113"/>
      <c r="AB89" s="113"/>
      <c r="AC89" s="113"/>
      <c r="AD89" s="113"/>
      <c r="AE89" s="113"/>
      <c r="AF89" s="113"/>
      <c r="AG89" s="113"/>
      <c r="AH89" s="113"/>
      <c r="AI89" s="113"/>
      <c r="AJ89" s="113"/>
      <c r="AK89" s="113"/>
      <c r="AL89" s="113"/>
      <c r="AM89" s="113"/>
      <c r="AN89" s="113"/>
      <c r="AO89" s="113"/>
      <c r="AP89" s="113"/>
      <c r="AQ89" s="113"/>
      <c r="AR89" s="113"/>
      <c r="AS89" s="113"/>
      <c r="AT89" s="113"/>
      <c r="AU89" s="113"/>
      <c r="AV89" s="113"/>
      <c r="AW89" s="113"/>
      <c r="AX89" s="113"/>
      <c r="AY89" s="113"/>
      <c r="AZ89" s="113"/>
      <c r="BA89" s="113"/>
      <c r="BB89" s="113"/>
      <c r="BC89" s="113"/>
      <c r="BD89" s="113"/>
      <c r="BE89" s="113"/>
      <c r="BF89" s="113"/>
      <c r="BG89" s="113"/>
      <c r="BH89" s="113"/>
      <c r="BI89" s="113"/>
      <c r="BJ89" s="113"/>
    </row>
    <row r="90" spans="1:62" x14ac:dyDescent="0.2">
      <c r="A90" s="113"/>
      <c r="B90" s="113"/>
      <c r="C90" s="114"/>
      <c r="D90" s="113"/>
      <c r="E90" s="113"/>
      <c r="F90" s="113"/>
      <c r="G90" s="113"/>
      <c r="H90" s="113"/>
      <c r="I90" s="113"/>
      <c r="J90" s="113"/>
      <c r="K90" s="113"/>
      <c r="L90" s="113"/>
      <c r="M90" s="113"/>
      <c r="N90" s="113"/>
      <c r="O90" s="113"/>
      <c r="P90" s="113"/>
      <c r="Q90" s="113"/>
      <c r="R90" s="113"/>
      <c r="S90" s="113"/>
      <c r="T90" s="113"/>
      <c r="U90" s="113"/>
      <c r="V90" s="113"/>
      <c r="W90" s="113"/>
      <c r="X90" s="113"/>
      <c r="Y90" s="113"/>
      <c r="Z90" s="113"/>
      <c r="AA90" s="113"/>
      <c r="AB90" s="113"/>
      <c r="AC90" s="113"/>
      <c r="AD90" s="113"/>
      <c r="AE90" s="113"/>
      <c r="AF90" s="113"/>
      <c r="AG90" s="113"/>
      <c r="AH90" s="113"/>
      <c r="AI90" s="113"/>
      <c r="AJ90" s="113"/>
      <c r="AK90" s="113"/>
      <c r="AL90" s="113"/>
      <c r="AM90" s="113"/>
      <c r="AN90" s="113"/>
      <c r="AO90" s="113"/>
      <c r="AP90" s="113"/>
      <c r="AQ90" s="113"/>
      <c r="AR90" s="113"/>
      <c r="AS90" s="113"/>
      <c r="AT90" s="113"/>
      <c r="AU90" s="113"/>
      <c r="AV90" s="113"/>
      <c r="AW90" s="113"/>
      <c r="AX90" s="113"/>
      <c r="AY90" s="113"/>
      <c r="AZ90" s="113"/>
      <c r="BA90" s="113"/>
      <c r="BB90" s="113"/>
      <c r="BC90" s="113"/>
      <c r="BD90" s="113"/>
      <c r="BE90" s="113"/>
      <c r="BF90" s="113"/>
      <c r="BG90" s="113"/>
      <c r="BH90" s="113"/>
      <c r="BI90" s="113"/>
      <c r="BJ90" s="113"/>
    </row>
    <row r="91" spans="1:62" x14ac:dyDescent="0.2">
      <c r="A91" s="113"/>
      <c r="B91" s="113"/>
      <c r="C91" s="114"/>
      <c r="D91" s="113"/>
      <c r="E91" s="113"/>
      <c r="F91" s="113"/>
      <c r="G91" s="113"/>
      <c r="H91" s="113"/>
      <c r="I91" s="113"/>
      <c r="J91" s="113"/>
      <c r="K91" s="113"/>
      <c r="L91" s="113"/>
      <c r="M91" s="113"/>
      <c r="N91" s="113"/>
      <c r="O91" s="113"/>
      <c r="P91" s="113"/>
      <c r="Q91" s="113"/>
      <c r="R91" s="113"/>
      <c r="S91" s="113"/>
      <c r="T91" s="113"/>
      <c r="U91" s="113"/>
      <c r="V91" s="113"/>
      <c r="W91" s="113"/>
      <c r="X91" s="113"/>
      <c r="Y91" s="113"/>
      <c r="Z91" s="113"/>
      <c r="AA91" s="113"/>
      <c r="AB91" s="113"/>
      <c r="AC91" s="113"/>
      <c r="AD91" s="113"/>
      <c r="AE91" s="113"/>
      <c r="AF91" s="113"/>
      <c r="AG91" s="113"/>
      <c r="AH91" s="113"/>
      <c r="AI91" s="113"/>
      <c r="AJ91" s="113"/>
      <c r="AK91" s="113"/>
      <c r="AL91" s="113"/>
      <c r="AM91" s="113"/>
      <c r="AN91" s="113"/>
      <c r="AO91" s="113"/>
      <c r="AP91" s="113"/>
      <c r="AQ91" s="113"/>
      <c r="AR91" s="113"/>
      <c r="AS91" s="113"/>
      <c r="AT91" s="113"/>
      <c r="AU91" s="113"/>
      <c r="AV91" s="113"/>
      <c r="AW91" s="113"/>
      <c r="AX91" s="113"/>
      <c r="AY91" s="113"/>
      <c r="AZ91" s="113"/>
      <c r="BA91" s="113"/>
      <c r="BB91" s="113"/>
      <c r="BC91" s="113"/>
      <c r="BD91" s="113"/>
      <c r="BE91" s="113"/>
      <c r="BF91" s="113"/>
      <c r="BG91" s="113"/>
      <c r="BH91" s="113"/>
      <c r="BI91" s="113"/>
      <c r="BJ91" s="113"/>
    </row>
    <row r="92" spans="1:62" x14ac:dyDescent="0.2">
      <c r="A92" s="113"/>
      <c r="B92" s="113"/>
      <c r="C92" s="114"/>
      <c r="D92" s="113"/>
      <c r="E92" s="113"/>
      <c r="F92" s="113"/>
      <c r="G92" s="113"/>
      <c r="H92" s="113"/>
      <c r="I92" s="113"/>
      <c r="J92" s="113"/>
      <c r="K92" s="113"/>
      <c r="L92" s="113"/>
      <c r="M92" s="113"/>
      <c r="N92" s="113"/>
      <c r="O92" s="113"/>
      <c r="P92" s="113"/>
      <c r="Q92" s="113"/>
      <c r="R92" s="113"/>
      <c r="S92" s="113"/>
      <c r="T92" s="113"/>
      <c r="U92" s="113"/>
      <c r="V92" s="113"/>
      <c r="W92" s="113"/>
      <c r="X92" s="113"/>
      <c r="Y92" s="113"/>
      <c r="Z92" s="113"/>
      <c r="AA92" s="113"/>
      <c r="AB92" s="113"/>
      <c r="AC92" s="113"/>
      <c r="AD92" s="113"/>
      <c r="AE92" s="113"/>
      <c r="AF92" s="113"/>
      <c r="AG92" s="113"/>
      <c r="AH92" s="113"/>
      <c r="AI92" s="113"/>
      <c r="AJ92" s="113"/>
      <c r="AK92" s="113"/>
      <c r="AL92" s="113"/>
      <c r="AM92" s="113"/>
      <c r="AN92" s="113"/>
      <c r="AO92" s="113"/>
      <c r="AP92" s="113"/>
      <c r="AQ92" s="113"/>
      <c r="AR92" s="113"/>
      <c r="AS92" s="113"/>
      <c r="AT92" s="113"/>
      <c r="AU92" s="113"/>
      <c r="AV92" s="113"/>
      <c r="AW92" s="113"/>
      <c r="AX92" s="113"/>
      <c r="AY92" s="113"/>
      <c r="AZ92" s="113"/>
      <c r="BA92" s="113"/>
      <c r="BB92" s="113"/>
      <c r="BC92" s="113"/>
      <c r="BD92" s="113"/>
      <c r="BE92" s="113"/>
      <c r="BF92" s="113"/>
      <c r="BG92" s="113"/>
      <c r="BH92" s="113"/>
      <c r="BI92" s="113"/>
      <c r="BJ92" s="113"/>
    </row>
    <row r="93" spans="1:62" x14ac:dyDescent="0.2">
      <c r="A93" s="113"/>
      <c r="B93" s="113"/>
      <c r="C93" s="114"/>
      <c r="D93" s="113"/>
      <c r="E93" s="113"/>
      <c r="F93" s="113"/>
      <c r="G93" s="113"/>
      <c r="H93" s="113"/>
      <c r="I93" s="113"/>
      <c r="J93" s="113"/>
      <c r="K93" s="113"/>
      <c r="L93" s="113"/>
      <c r="M93" s="113"/>
      <c r="N93" s="113"/>
      <c r="O93" s="113"/>
      <c r="P93" s="113"/>
      <c r="Q93" s="113"/>
      <c r="R93" s="113"/>
      <c r="S93" s="113"/>
      <c r="T93" s="113"/>
      <c r="U93" s="113"/>
      <c r="V93" s="113"/>
      <c r="W93" s="113"/>
      <c r="X93" s="113"/>
      <c r="Y93" s="113"/>
      <c r="Z93" s="113"/>
      <c r="AA93" s="113"/>
      <c r="AB93" s="113"/>
      <c r="AC93" s="113"/>
      <c r="AD93" s="113"/>
      <c r="AE93" s="113"/>
      <c r="AF93" s="113"/>
      <c r="AG93" s="113"/>
      <c r="AH93" s="113"/>
      <c r="AI93" s="113"/>
      <c r="AJ93" s="113"/>
      <c r="AK93" s="113"/>
      <c r="AL93" s="113"/>
      <c r="AM93" s="113"/>
      <c r="AN93" s="113"/>
      <c r="AO93" s="113"/>
      <c r="AP93" s="113"/>
      <c r="AQ93" s="113"/>
      <c r="AR93" s="113"/>
      <c r="AS93" s="113"/>
      <c r="AT93" s="113"/>
      <c r="AU93" s="113"/>
      <c r="AV93" s="113"/>
      <c r="AW93" s="113"/>
      <c r="AX93" s="113"/>
      <c r="AY93" s="113"/>
      <c r="AZ93" s="113"/>
      <c r="BA93" s="113"/>
      <c r="BB93" s="113"/>
      <c r="BC93" s="113"/>
      <c r="BD93" s="113"/>
      <c r="BE93" s="113"/>
      <c r="BF93" s="113"/>
      <c r="BG93" s="113"/>
      <c r="BH93" s="113"/>
      <c r="BI93" s="113"/>
      <c r="BJ93" s="113"/>
    </row>
    <row r="94" spans="1:62" x14ac:dyDescent="0.2">
      <c r="A94" s="113"/>
      <c r="B94" s="113"/>
      <c r="C94" s="114"/>
      <c r="D94" s="113"/>
      <c r="E94" s="113"/>
      <c r="F94" s="113"/>
      <c r="G94" s="113"/>
      <c r="H94" s="113"/>
      <c r="I94" s="113"/>
      <c r="J94" s="113"/>
      <c r="K94" s="113"/>
      <c r="L94" s="113"/>
      <c r="M94" s="113"/>
      <c r="N94" s="113"/>
      <c r="O94" s="113"/>
      <c r="P94" s="113"/>
      <c r="Q94" s="113"/>
      <c r="R94" s="113"/>
      <c r="S94" s="113"/>
      <c r="T94" s="113"/>
      <c r="U94" s="113"/>
      <c r="V94" s="113"/>
      <c r="W94" s="113"/>
      <c r="X94" s="113"/>
      <c r="Y94" s="113"/>
      <c r="Z94" s="113"/>
      <c r="AA94" s="113"/>
      <c r="AB94" s="113"/>
      <c r="AC94" s="113"/>
      <c r="AD94" s="113"/>
      <c r="AE94" s="113"/>
      <c r="AF94" s="113"/>
      <c r="AG94" s="113"/>
      <c r="AH94" s="113"/>
      <c r="AI94" s="113"/>
      <c r="AJ94" s="113"/>
      <c r="AK94" s="113"/>
      <c r="AL94" s="113"/>
      <c r="AM94" s="113"/>
      <c r="AN94" s="113"/>
      <c r="AO94" s="113"/>
      <c r="AP94" s="113"/>
      <c r="AQ94" s="113"/>
      <c r="AR94" s="113"/>
      <c r="AS94" s="113"/>
      <c r="AT94" s="113"/>
      <c r="AU94" s="113"/>
      <c r="AV94" s="113"/>
      <c r="AW94" s="113"/>
      <c r="AX94" s="113"/>
      <c r="AY94" s="113"/>
      <c r="AZ94" s="113"/>
      <c r="BA94" s="113"/>
      <c r="BB94" s="113"/>
      <c r="BC94" s="113"/>
      <c r="BD94" s="113"/>
      <c r="BE94" s="113"/>
      <c r="BF94" s="113"/>
      <c r="BG94" s="113"/>
      <c r="BH94" s="113"/>
      <c r="BI94" s="113"/>
      <c r="BJ94" s="113"/>
    </row>
    <row r="95" spans="1:62" x14ac:dyDescent="0.2">
      <c r="A95" s="113"/>
      <c r="B95" s="113"/>
      <c r="C95" s="114"/>
      <c r="D95" s="113"/>
      <c r="E95" s="113"/>
      <c r="F95" s="113"/>
      <c r="G95" s="113"/>
      <c r="H95" s="113"/>
      <c r="I95" s="113"/>
      <c r="J95" s="113"/>
      <c r="K95" s="113"/>
      <c r="L95" s="113"/>
      <c r="M95" s="113"/>
      <c r="N95" s="113"/>
      <c r="O95" s="113"/>
      <c r="P95" s="113"/>
      <c r="Q95" s="113"/>
      <c r="R95" s="113"/>
      <c r="S95" s="113"/>
      <c r="T95" s="113"/>
      <c r="U95" s="113"/>
      <c r="V95" s="113"/>
      <c r="W95" s="113"/>
      <c r="X95" s="113"/>
      <c r="Y95" s="113"/>
      <c r="Z95" s="113"/>
      <c r="AA95" s="113"/>
      <c r="AB95" s="113"/>
      <c r="AC95" s="113"/>
      <c r="AD95" s="113"/>
      <c r="AE95" s="113"/>
      <c r="AF95" s="113"/>
      <c r="AG95" s="113"/>
      <c r="AH95" s="113"/>
      <c r="AI95" s="113"/>
      <c r="AJ95" s="113"/>
      <c r="AK95" s="113"/>
      <c r="AL95" s="113"/>
      <c r="AM95" s="113"/>
      <c r="AN95" s="113"/>
      <c r="AO95" s="113"/>
      <c r="AP95" s="113"/>
      <c r="AQ95" s="113"/>
      <c r="AR95" s="113"/>
      <c r="AS95" s="113"/>
      <c r="AT95" s="113"/>
      <c r="AU95" s="113"/>
      <c r="AV95" s="113"/>
      <c r="AW95" s="113"/>
      <c r="AX95" s="113"/>
      <c r="AY95" s="113"/>
      <c r="AZ95" s="113"/>
      <c r="BA95" s="113"/>
      <c r="BB95" s="113"/>
      <c r="BC95" s="113"/>
      <c r="BD95" s="113"/>
      <c r="BE95" s="113"/>
      <c r="BF95" s="113"/>
      <c r="BG95" s="113"/>
      <c r="BH95" s="113"/>
      <c r="BI95" s="113"/>
      <c r="BJ95" s="113"/>
    </row>
    <row r="96" spans="1:62" x14ac:dyDescent="0.2">
      <c r="A96" s="113"/>
      <c r="B96" s="113"/>
      <c r="C96" s="114"/>
      <c r="D96" s="113"/>
      <c r="E96" s="113"/>
      <c r="F96" s="113"/>
      <c r="G96" s="113"/>
      <c r="H96" s="113"/>
      <c r="I96" s="113"/>
      <c r="J96" s="113"/>
      <c r="K96" s="113"/>
      <c r="L96" s="113"/>
      <c r="M96" s="113"/>
      <c r="N96" s="113"/>
      <c r="O96" s="113"/>
      <c r="P96" s="113"/>
      <c r="Q96" s="113"/>
      <c r="R96" s="113"/>
      <c r="S96" s="113"/>
      <c r="T96" s="113"/>
      <c r="U96" s="113"/>
      <c r="V96" s="113"/>
      <c r="W96" s="113"/>
      <c r="X96" s="113"/>
      <c r="Y96" s="113"/>
      <c r="Z96" s="113"/>
      <c r="AA96" s="113"/>
      <c r="AB96" s="113"/>
      <c r="AC96" s="113"/>
      <c r="AD96" s="113"/>
      <c r="AE96" s="113"/>
      <c r="AF96" s="113"/>
      <c r="AG96" s="113"/>
      <c r="AH96" s="113"/>
      <c r="AI96" s="113"/>
      <c r="AJ96" s="113"/>
      <c r="AK96" s="113"/>
      <c r="AL96" s="113"/>
      <c r="AM96" s="113"/>
      <c r="AN96" s="113"/>
      <c r="AO96" s="113"/>
      <c r="AP96" s="113"/>
      <c r="AQ96" s="113"/>
      <c r="AR96" s="113"/>
      <c r="AS96" s="113"/>
      <c r="AT96" s="113"/>
      <c r="AU96" s="113"/>
      <c r="AV96" s="113"/>
      <c r="AW96" s="113"/>
      <c r="AX96" s="113"/>
      <c r="AY96" s="113"/>
      <c r="AZ96" s="113"/>
      <c r="BA96" s="113"/>
      <c r="BB96" s="113"/>
      <c r="BC96" s="113"/>
      <c r="BD96" s="113"/>
      <c r="BE96" s="113"/>
      <c r="BF96" s="113"/>
      <c r="BG96" s="113"/>
      <c r="BH96" s="113"/>
      <c r="BI96" s="113"/>
      <c r="BJ96" s="113"/>
    </row>
    <row r="97" spans="1:62" x14ac:dyDescent="0.2">
      <c r="A97" s="113"/>
      <c r="B97" s="113"/>
      <c r="C97" s="114"/>
      <c r="D97" s="113"/>
      <c r="E97" s="113"/>
      <c r="F97" s="113"/>
      <c r="G97" s="113"/>
      <c r="H97" s="113"/>
      <c r="I97" s="113"/>
      <c r="J97" s="113"/>
      <c r="K97" s="113"/>
      <c r="L97" s="113"/>
      <c r="M97" s="113"/>
      <c r="N97" s="113"/>
      <c r="O97" s="113"/>
      <c r="P97" s="113"/>
      <c r="Q97" s="113"/>
      <c r="R97" s="113"/>
      <c r="S97" s="113"/>
      <c r="T97" s="113"/>
      <c r="U97" s="113"/>
      <c r="V97" s="113"/>
      <c r="W97" s="113"/>
      <c r="X97" s="113"/>
      <c r="Y97" s="113"/>
      <c r="Z97" s="113"/>
      <c r="AA97" s="113"/>
      <c r="AB97" s="113"/>
      <c r="AC97" s="113"/>
      <c r="AD97" s="113"/>
      <c r="AE97" s="113"/>
      <c r="AF97" s="113"/>
      <c r="AG97" s="113"/>
      <c r="AH97" s="113"/>
      <c r="AI97" s="113"/>
      <c r="AJ97" s="113"/>
      <c r="AK97" s="113"/>
      <c r="AL97" s="113"/>
      <c r="AM97" s="113"/>
      <c r="AN97" s="113"/>
      <c r="AO97" s="113"/>
      <c r="AP97" s="113"/>
      <c r="AQ97" s="113"/>
      <c r="AR97" s="113"/>
      <c r="AS97" s="113"/>
      <c r="AT97" s="113"/>
      <c r="AU97" s="113"/>
      <c r="AV97" s="113"/>
      <c r="AW97" s="113"/>
      <c r="AX97" s="113"/>
      <c r="AY97" s="113"/>
      <c r="AZ97" s="113"/>
      <c r="BA97" s="113"/>
      <c r="BB97" s="113"/>
      <c r="BC97" s="113"/>
      <c r="BD97" s="113"/>
      <c r="BE97" s="113"/>
      <c r="BF97" s="113"/>
      <c r="BG97" s="113"/>
      <c r="BH97" s="113"/>
      <c r="BI97" s="113"/>
      <c r="BJ97" s="113"/>
    </row>
    <row r="98" spans="1:62" x14ac:dyDescent="0.2">
      <c r="A98" s="113"/>
      <c r="B98" s="113"/>
      <c r="C98" s="114"/>
      <c r="D98" s="113"/>
      <c r="E98" s="113"/>
      <c r="F98" s="113"/>
      <c r="G98" s="113"/>
      <c r="H98" s="113"/>
      <c r="I98" s="113"/>
      <c r="J98" s="113"/>
      <c r="K98" s="113"/>
      <c r="L98" s="113"/>
      <c r="M98" s="113"/>
      <c r="N98" s="113"/>
      <c r="O98" s="113"/>
      <c r="P98" s="113"/>
      <c r="Q98" s="113"/>
      <c r="R98" s="113"/>
      <c r="S98" s="113"/>
      <c r="T98" s="113"/>
      <c r="U98" s="113"/>
      <c r="V98" s="113"/>
      <c r="W98" s="113"/>
      <c r="X98" s="113"/>
      <c r="Y98" s="113"/>
      <c r="Z98" s="113"/>
      <c r="AA98" s="113"/>
      <c r="AB98" s="113"/>
      <c r="AC98" s="113"/>
      <c r="AD98" s="113"/>
      <c r="AE98" s="113"/>
      <c r="AF98" s="113"/>
      <c r="AG98" s="113"/>
      <c r="AH98" s="113"/>
      <c r="AI98" s="113"/>
      <c r="AJ98" s="113"/>
      <c r="AK98" s="113"/>
      <c r="AL98" s="113"/>
      <c r="AM98" s="113"/>
      <c r="AN98" s="113"/>
      <c r="AO98" s="113"/>
      <c r="AP98" s="113"/>
      <c r="AQ98" s="113"/>
      <c r="AR98" s="113"/>
      <c r="AS98" s="113"/>
      <c r="AT98" s="113"/>
      <c r="AU98" s="113"/>
      <c r="AV98" s="113"/>
      <c r="AW98" s="113"/>
      <c r="AX98" s="113"/>
      <c r="AY98" s="113"/>
      <c r="AZ98" s="113"/>
      <c r="BA98" s="113"/>
      <c r="BB98" s="113"/>
      <c r="BC98" s="113"/>
      <c r="BD98" s="113"/>
      <c r="BE98" s="113"/>
      <c r="BF98" s="113"/>
      <c r="BG98" s="113"/>
      <c r="BH98" s="113"/>
      <c r="BI98" s="113"/>
      <c r="BJ98" s="113"/>
    </row>
    <row r="99" spans="1:62" x14ac:dyDescent="0.2">
      <c r="A99" s="113"/>
      <c r="B99" s="113"/>
      <c r="C99" s="114"/>
      <c r="D99" s="113"/>
      <c r="E99" s="113"/>
      <c r="F99" s="113"/>
      <c r="G99" s="113"/>
      <c r="H99" s="113"/>
      <c r="I99" s="113"/>
      <c r="J99" s="113"/>
      <c r="K99" s="113"/>
      <c r="L99" s="113"/>
      <c r="M99" s="113"/>
      <c r="N99" s="113"/>
      <c r="O99" s="113"/>
      <c r="P99" s="113"/>
      <c r="Q99" s="113"/>
      <c r="R99" s="113"/>
      <c r="S99" s="113"/>
      <c r="T99" s="113"/>
      <c r="U99" s="113"/>
      <c r="V99" s="113"/>
      <c r="W99" s="113"/>
      <c r="X99" s="113"/>
      <c r="Y99" s="113"/>
      <c r="Z99" s="113"/>
      <c r="AA99" s="113"/>
      <c r="AB99" s="113"/>
      <c r="AC99" s="113"/>
      <c r="AD99" s="113"/>
      <c r="AE99" s="113"/>
      <c r="AF99" s="113"/>
      <c r="AG99" s="113"/>
      <c r="AH99" s="113"/>
      <c r="AI99" s="113"/>
      <c r="AJ99" s="113"/>
      <c r="AK99" s="113"/>
      <c r="AL99" s="113"/>
      <c r="AM99" s="113"/>
      <c r="AN99" s="113"/>
      <c r="AO99" s="113"/>
      <c r="AP99" s="113"/>
      <c r="AQ99" s="113"/>
      <c r="AR99" s="113"/>
      <c r="AS99" s="113"/>
      <c r="AT99" s="113"/>
      <c r="AU99" s="113"/>
      <c r="AV99" s="113"/>
      <c r="AW99" s="113"/>
      <c r="AX99" s="113"/>
      <c r="AY99" s="113"/>
      <c r="AZ99" s="113"/>
      <c r="BA99" s="113"/>
      <c r="BB99" s="113"/>
      <c r="BC99" s="113"/>
      <c r="BD99" s="113"/>
      <c r="BE99" s="113"/>
      <c r="BF99" s="113"/>
      <c r="BG99" s="113"/>
      <c r="BH99" s="113"/>
      <c r="BI99" s="113"/>
      <c r="BJ99" s="113"/>
    </row>
    <row r="100" spans="1:62" x14ac:dyDescent="0.2">
      <c r="A100" s="113"/>
      <c r="B100" s="113"/>
      <c r="C100" s="114"/>
      <c r="D100" s="113"/>
      <c r="E100" s="113"/>
      <c r="F100" s="113"/>
      <c r="G100" s="113"/>
      <c r="H100" s="113"/>
      <c r="I100" s="113"/>
      <c r="J100" s="113"/>
      <c r="K100" s="113"/>
      <c r="L100" s="113"/>
      <c r="M100" s="113"/>
      <c r="N100" s="113"/>
      <c r="O100" s="113"/>
      <c r="P100" s="113"/>
      <c r="Q100" s="113"/>
      <c r="R100" s="113"/>
      <c r="S100" s="113"/>
      <c r="T100" s="113"/>
      <c r="U100" s="113"/>
      <c r="V100" s="113"/>
      <c r="W100" s="113"/>
      <c r="X100" s="113"/>
      <c r="Y100" s="113"/>
      <c r="Z100" s="113"/>
      <c r="AA100" s="113"/>
      <c r="AB100" s="113"/>
      <c r="AC100" s="113"/>
      <c r="AD100" s="113"/>
      <c r="AE100" s="113"/>
      <c r="AF100" s="113"/>
      <c r="AG100" s="113"/>
      <c r="AH100" s="113"/>
      <c r="AI100" s="113"/>
      <c r="AJ100" s="113"/>
      <c r="AK100" s="113"/>
      <c r="AL100" s="113"/>
      <c r="AM100" s="113"/>
      <c r="AN100" s="113"/>
      <c r="AO100" s="113"/>
      <c r="AP100" s="113"/>
      <c r="AQ100" s="113"/>
      <c r="AR100" s="113"/>
      <c r="AS100" s="113"/>
      <c r="AT100" s="113"/>
      <c r="AU100" s="113"/>
      <c r="AV100" s="113"/>
      <c r="AW100" s="113"/>
      <c r="AX100" s="113"/>
      <c r="AY100" s="113"/>
      <c r="AZ100" s="113"/>
      <c r="BA100" s="113"/>
      <c r="BB100" s="113"/>
      <c r="BC100" s="113"/>
      <c r="BD100" s="113"/>
      <c r="BE100" s="113"/>
      <c r="BF100" s="113"/>
      <c r="BG100" s="113"/>
      <c r="BH100" s="113"/>
      <c r="BI100" s="113"/>
      <c r="BJ100" s="113"/>
    </row>
    <row r="101" spans="1:62" x14ac:dyDescent="0.2">
      <c r="A101" s="113"/>
      <c r="B101" s="113"/>
      <c r="C101" s="114"/>
      <c r="D101" s="113"/>
      <c r="E101" s="113"/>
      <c r="F101" s="113"/>
      <c r="G101" s="113"/>
      <c r="H101" s="113"/>
      <c r="I101" s="113"/>
      <c r="J101" s="113"/>
      <c r="K101" s="113"/>
      <c r="L101" s="113"/>
      <c r="M101" s="113"/>
      <c r="N101" s="113"/>
      <c r="O101" s="113"/>
      <c r="P101" s="113"/>
      <c r="Q101" s="113"/>
      <c r="R101" s="113"/>
      <c r="S101" s="113"/>
      <c r="T101" s="113"/>
      <c r="U101" s="113"/>
      <c r="V101" s="113"/>
      <c r="W101" s="113"/>
      <c r="X101" s="113"/>
      <c r="Y101" s="113"/>
      <c r="Z101" s="113"/>
      <c r="AA101" s="113"/>
      <c r="AB101" s="113"/>
      <c r="AC101" s="113"/>
      <c r="AD101" s="113"/>
      <c r="AE101" s="113"/>
      <c r="AF101" s="113"/>
      <c r="AG101" s="113"/>
      <c r="AH101" s="113"/>
      <c r="AI101" s="113"/>
      <c r="AJ101" s="113"/>
      <c r="AK101" s="113"/>
      <c r="AL101" s="113"/>
      <c r="AM101" s="113"/>
      <c r="AN101" s="113"/>
      <c r="AO101" s="113"/>
      <c r="AP101" s="113"/>
      <c r="AQ101" s="113"/>
      <c r="AR101" s="113"/>
      <c r="AS101" s="113"/>
      <c r="AT101" s="113"/>
      <c r="AU101" s="113"/>
      <c r="AV101" s="113"/>
      <c r="AW101" s="113"/>
      <c r="AX101" s="113"/>
      <c r="AY101" s="113"/>
      <c r="AZ101" s="113"/>
      <c r="BA101" s="113"/>
      <c r="BB101" s="113"/>
      <c r="BC101" s="113"/>
      <c r="BD101" s="113"/>
      <c r="BE101" s="113"/>
      <c r="BF101" s="113"/>
      <c r="BG101" s="113"/>
      <c r="BH101" s="113"/>
      <c r="BI101" s="113"/>
      <c r="BJ101" s="113"/>
    </row>
    <row r="102" spans="1:62" x14ac:dyDescent="0.2">
      <c r="A102" s="113"/>
      <c r="B102" s="113"/>
      <c r="C102" s="114"/>
      <c r="D102" s="113"/>
      <c r="E102" s="113"/>
      <c r="F102" s="113"/>
      <c r="G102" s="113"/>
      <c r="H102" s="113"/>
      <c r="I102" s="113"/>
      <c r="J102" s="113"/>
      <c r="K102" s="113"/>
      <c r="L102" s="113"/>
      <c r="M102" s="113"/>
      <c r="N102" s="113"/>
      <c r="O102" s="113"/>
      <c r="P102" s="113"/>
      <c r="Q102" s="113"/>
      <c r="R102" s="113"/>
      <c r="S102" s="113"/>
      <c r="T102" s="113"/>
      <c r="U102" s="113"/>
      <c r="V102" s="113"/>
      <c r="W102" s="113"/>
      <c r="X102" s="113"/>
      <c r="Y102" s="113"/>
      <c r="Z102" s="113"/>
      <c r="AA102" s="113"/>
      <c r="AB102" s="113"/>
      <c r="AC102" s="113"/>
      <c r="AD102" s="113"/>
      <c r="AE102" s="113"/>
      <c r="AF102" s="113"/>
      <c r="AG102" s="113"/>
      <c r="AH102" s="113"/>
      <c r="AI102" s="113"/>
      <c r="AJ102" s="113"/>
      <c r="AK102" s="113"/>
      <c r="AL102" s="113"/>
      <c r="AM102" s="113"/>
      <c r="AN102" s="113"/>
      <c r="AO102" s="113"/>
      <c r="AP102" s="113"/>
      <c r="AQ102" s="113"/>
      <c r="AR102" s="113"/>
      <c r="AS102" s="113"/>
      <c r="AT102" s="113"/>
      <c r="AU102" s="113"/>
      <c r="AV102" s="113"/>
      <c r="AW102" s="113"/>
      <c r="AX102" s="113"/>
      <c r="AY102" s="113"/>
      <c r="AZ102" s="113"/>
      <c r="BA102" s="113"/>
      <c r="BB102" s="113"/>
      <c r="BC102" s="113"/>
      <c r="BD102" s="113"/>
      <c r="BE102" s="113"/>
      <c r="BF102" s="113"/>
      <c r="BG102" s="113"/>
      <c r="BH102" s="113"/>
      <c r="BI102" s="113"/>
      <c r="BJ102" s="113"/>
    </row>
    <row r="103" spans="1:62" x14ac:dyDescent="0.2">
      <c r="A103" s="113"/>
      <c r="B103" s="113"/>
      <c r="C103" s="114"/>
      <c r="D103" s="113"/>
      <c r="E103" s="113"/>
      <c r="F103" s="113"/>
      <c r="G103" s="113"/>
      <c r="H103" s="113"/>
      <c r="I103" s="113"/>
      <c r="J103" s="113"/>
      <c r="K103" s="113"/>
      <c r="L103" s="113"/>
      <c r="M103" s="113"/>
      <c r="N103" s="113"/>
      <c r="O103" s="113"/>
      <c r="P103" s="113"/>
      <c r="Q103" s="113"/>
      <c r="R103" s="113"/>
      <c r="S103" s="113"/>
      <c r="T103" s="113"/>
      <c r="U103" s="113"/>
      <c r="V103" s="113"/>
      <c r="W103" s="113"/>
      <c r="X103" s="113"/>
      <c r="Y103" s="113"/>
      <c r="Z103" s="113"/>
      <c r="AA103" s="113"/>
      <c r="AB103" s="113"/>
      <c r="AC103" s="113"/>
      <c r="AD103" s="113"/>
      <c r="AE103" s="113"/>
      <c r="AF103" s="113"/>
      <c r="AG103" s="113"/>
      <c r="AH103" s="113"/>
      <c r="AI103" s="113"/>
      <c r="AJ103" s="113"/>
      <c r="AK103" s="113"/>
      <c r="AL103" s="113"/>
      <c r="AM103" s="113"/>
      <c r="AN103" s="113"/>
      <c r="AO103" s="113"/>
      <c r="AP103" s="113"/>
      <c r="AQ103" s="113"/>
      <c r="AR103" s="113"/>
      <c r="AS103" s="113"/>
      <c r="AT103" s="113"/>
      <c r="AU103" s="113"/>
      <c r="AV103" s="113"/>
      <c r="AW103" s="113"/>
      <c r="AX103" s="113"/>
      <c r="AY103" s="113"/>
      <c r="AZ103" s="113"/>
      <c r="BA103" s="113"/>
      <c r="BB103" s="113"/>
      <c r="BC103" s="113"/>
      <c r="BD103" s="113"/>
      <c r="BE103" s="113"/>
      <c r="BF103" s="113"/>
      <c r="BG103" s="113"/>
      <c r="BH103" s="113"/>
      <c r="BI103" s="113"/>
      <c r="BJ103" s="113"/>
    </row>
    <row r="104" spans="1:62" x14ac:dyDescent="0.2">
      <c r="A104" s="113"/>
      <c r="B104" s="113"/>
      <c r="C104" s="114"/>
      <c r="D104" s="113"/>
      <c r="E104" s="113"/>
      <c r="F104" s="113"/>
      <c r="G104" s="113"/>
      <c r="H104" s="113"/>
      <c r="I104" s="113"/>
      <c r="J104" s="113"/>
      <c r="K104" s="113"/>
      <c r="L104" s="113"/>
      <c r="M104" s="113"/>
      <c r="N104" s="113"/>
      <c r="O104" s="113"/>
      <c r="P104" s="113"/>
      <c r="Q104" s="113"/>
      <c r="R104" s="113"/>
      <c r="S104" s="113"/>
      <c r="T104" s="113"/>
      <c r="U104" s="113"/>
      <c r="V104" s="113"/>
      <c r="W104" s="113"/>
      <c r="X104" s="113"/>
      <c r="Y104" s="113"/>
      <c r="Z104" s="113"/>
      <c r="AA104" s="113"/>
      <c r="AB104" s="113"/>
      <c r="AC104" s="113"/>
      <c r="AD104" s="113"/>
      <c r="AE104" s="113"/>
      <c r="AF104" s="113"/>
      <c r="AG104" s="113"/>
      <c r="AH104" s="113"/>
      <c r="AI104" s="113"/>
      <c r="AJ104" s="113"/>
      <c r="AK104" s="113"/>
      <c r="AL104" s="113"/>
      <c r="AM104" s="113"/>
      <c r="AN104" s="113"/>
      <c r="AO104" s="113"/>
      <c r="AP104" s="113"/>
      <c r="AQ104" s="113"/>
      <c r="AR104" s="113"/>
      <c r="AS104" s="113"/>
      <c r="AT104" s="113"/>
      <c r="AU104" s="113"/>
      <c r="AV104" s="113"/>
      <c r="AW104" s="113"/>
      <c r="AX104" s="113"/>
      <c r="AY104" s="113"/>
      <c r="AZ104" s="113"/>
      <c r="BA104" s="113"/>
      <c r="BB104" s="113"/>
      <c r="BC104" s="113"/>
      <c r="BD104" s="113"/>
      <c r="BE104" s="113"/>
      <c r="BF104" s="113"/>
      <c r="BG104" s="113"/>
      <c r="BH104" s="113"/>
      <c r="BI104" s="113"/>
      <c r="BJ104" s="113"/>
    </row>
    <row r="105" spans="1:62" x14ac:dyDescent="0.2">
      <c r="A105" s="113"/>
      <c r="B105" s="113"/>
      <c r="C105" s="114"/>
      <c r="D105" s="113"/>
      <c r="E105" s="113"/>
      <c r="F105" s="113"/>
      <c r="G105" s="113"/>
      <c r="H105" s="113"/>
      <c r="I105" s="113"/>
      <c r="J105" s="113"/>
      <c r="K105" s="113"/>
      <c r="L105" s="113"/>
      <c r="M105" s="113"/>
      <c r="N105" s="113"/>
      <c r="O105" s="113"/>
      <c r="P105" s="113"/>
      <c r="Q105" s="113"/>
      <c r="R105" s="113"/>
      <c r="S105" s="113"/>
      <c r="T105" s="113"/>
      <c r="U105" s="113"/>
      <c r="V105" s="113"/>
      <c r="W105" s="113"/>
      <c r="X105" s="113"/>
      <c r="Y105" s="113"/>
      <c r="Z105" s="113"/>
      <c r="AA105" s="113"/>
      <c r="AB105" s="113"/>
      <c r="AC105" s="113"/>
      <c r="AD105" s="113"/>
      <c r="AE105" s="113"/>
      <c r="AF105" s="113"/>
      <c r="AG105" s="113"/>
      <c r="AH105" s="113"/>
      <c r="AI105" s="113"/>
      <c r="AJ105" s="113"/>
      <c r="AK105" s="113"/>
      <c r="AL105" s="113"/>
      <c r="AM105" s="113"/>
      <c r="AN105" s="113"/>
      <c r="AO105" s="113"/>
      <c r="AP105" s="113"/>
      <c r="AQ105" s="113"/>
      <c r="AR105" s="113"/>
      <c r="AS105" s="113"/>
      <c r="AT105" s="113"/>
      <c r="AU105" s="113"/>
      <c r="AV105" s="113"/>
      <c r="AW105" s="113"/>
      <c r="AX105" s="113"/>
      <c r="AY105" s="113"/>
      <c r="AZ105" s="113"/>
      <c r="BA105" s="113"/>
      <c r="BB105" s="113"/>
      <c r="BC105" s="113"/>
      <c r="BD105" s="113"/>
      <c r="BE105" s="113"/>
      <c r="BF105" s="113"/>
      <c r="BG105" s="113"/>
      <c r="BH105" s="113"/>
      <c r="BI105" s="113"/>
      <c r="BJ105" s="113"/>
    </row>
    <row r="106" spans="1:62" x14ac:dyDescent="0.2">
      <c r="A106" s="113"/>
      <c r="B106" s="113"/>
      <c r="C106" s="114"/>
      <c r="D106" s="113"/>
      <c r="E106" s="113"/>
      <c r="F106" s="113"/>
      <c r="G106" s="113"/>
      <c r="H106" s="113"/>
      <c r="I106" s="113"/>
      <c r="J106" s="113"/>
      <c r="K106" s="113"/>
      <c r="L106" s="113"/>
      <c r="M106" s="113"/>
      <c r="N106" s="113"/>
      <c r="O106" s="113"/>
      <c r="P106" s="113"/>
      <c r="Q106" s="113"/>
      <c r="R106" s="113"/>
      <c r="S106" s="113"/>
      <c r="T106" s="113"/>
      <c r="U106" s="113"/>
      <c r="V106" s="113"/>
      <c r="W106" s="113"/>
      <c r="X106" s="113"/>
      <c r="Y106" s="113"/>
      <c r="Z106" s="113"/>
      <c r="AA106" s="113"/>
      <c r="AB106" s="113"/>
      <c r="AC106" s="113"/>
      <c r="AD106" s="113"/>
      <c r="AE106" s="113"/>
      <c r="AF106" s="113"/>
      <c r="AG106" s="113"/>
      <c r="AH106" s="113"/>
      <c r="AI106" s="113"/>
      <c r="AJ106" s="113"/>
      <c r="AK106" s="113"/>
      <c r="AL106" s="113"/>
      <c r="AM106" s="113"/>
      <c r="AN106" s="113"/>
      <c r="AO106" s="113"/>
      <c r="AP106" s="113"/>
      <c r="AQ106" s="113"/>
      <c r="AR106" s="113"/>
      <c r="AS106" s="113"/>
      <c r="AT106" s="113"/>
      <c r="AU106" s="113"/>
      <c r="AV106" s="113"/>
      <c r="AW106" s="113"/>
      <c r="AX106" s="113"/>
      <c r="AY106" s="113"/>
      <c r="AZ106" s="113"/>
      <c r="BA106" s="113"/>
      <c r="BB106" s="113"/>
      <c r="BC106" s="113"/>
      <c r="BD106" s="113"/>
      <c r="BE106" s="113"/>
      <c r="BF106" s="113"/>
      <c r="BG106" s="113"/>
      <c r="BH106" s="113"/>
      <c r="BI106" s="113"/>
      <c r="BJ106" s="113"/>
    </row>
    <row r="107" spans="1:62" x14ac:dyDescent="0.2">
      <c r="A107" s="113"/>
      <c r="B107" s="113"/>
      <c r="C107" s="114"/>
      <c r="D107" s="113"/>
      <c r="E107" s="113"/>
      <c r="F107" s="113"/>
      <c r="G107" s="113"/>
      <c r="H107" s="113"/>
      <c r="I107" s="113"/>
      <c r="J107" s="113"/>
      <c r="K107" s="113"/>
      <c r="L107" s="113"/>
      <c r="M107" s="113"/>
      <c r="N107" s="113"/>
      <c r="O107" s="113"/>
      <c r="P107" s="113"/>
      <c r="Q107" s="113"/>
      <c r="R107" s="113"/>
      <c r="S107" s="113"/>
      <c r="T107" s="113"/>
      <c r="U107" s="113"/>
      <c r="V107" s="113"/>
      <c r="W107" s="113"/>
      <c r="X107" s="113"/>
      <c r="Y107" s="113"/>
      <c r="Z107" s="113"/>
      <c r="AA107" s="113"/>
      <c r="AB107" s="113"/>
      <c r="AC107" s="113"/>
      <c r="AD107" s="113"/>
      <c r="AE107" s="113"/>
      <c r="AF107" s="113"/>
      <c r="AG107" s="113"/>
      <c r="AH107" s="113"/>
      <c r="AI107" s="113"/>
      <c r="AJ107" s="113"/>
      <c r="AK107" s="113"/>
      <c r="AL107" s="113"/>
      <c r="AM107" s="113"/>
      <c r="AN107" s="113"/>
      <c r="AO107" s="113"/>
      <c r="AP107" s="113"/>
      <c r="AQ107" s="113"/>
      <c r="AR107" s="113"/>
      <c r="AS107" s="113"/>
      <c r="AT107" s="113"/>
      <c r="AU107" s="113"/>
      <c r="AV107" s="113"/>
      <c r="AW107" s="113"/>
      <c r="AX107" s="113"/>
      <c r="AY107" s="113"/>
      <c r="AZ107" s="113"/>
      <c r="BA107" s="113"/>
      <c r="BB107" s="113"/>
      <c r="BC107" s="113"/>
      <c r="BD107" s="113"/>
      <c r="BE107" s="113"/>
      <c r="BF107" s="113"/>
      <c r="BG107" s="113"/>
      <c r="BH107" s="113"/>
      <c r="BI107" s="113"/>
      <c r="BJ107" s="113"/>
    </row>
    <row r="108" spans="1:62" x14ac:dyDescent="0.2">
      <c r="A108" s="113"/>
      <c r="B108" s="113"/>
      <c r="C108" s="114"/>
      <c r="D108" s="113"/>
      <c r="E108" s="113"/>
      <c r="F108" s="113"/>
      <c r="G108" s="113"/>
      <c r="H108" s="113"/>
      <c r="I108" s="113"/>
      <c r="J108" s="113"/>
      <c r="K108" s="113"/>
      <c r="L108" s="113"/>
      <c r="M108" s="113"/>
      <c r="N108" s="113"/>
      <c r="O108" s="113"/>
      <c r="P108" s="113"/>
      <c r="Q108" s="113"/>
      <c r="R108" s="113"/>
      <c r="S108" s="113"/>
      <c r="T108" s="113"/>
      <c r="U108" s="113"/>
      <c r="V108" s="113"/>
      <c r="W108" s="113"/>
      <c r="X108" s="113"/>
      <c r="Y108" s="113"/>
      <c r="Z108" s="113"/>
      <c r="AA108" s="113"/>
      <c r="AB108" s="113"/>
      <c r="AC108" s="113"/>
      <c r="AD108" s="113"/>
      <c r="AE108" s="113"/>
      <c r="AF108" s="113"/>
      <c r="AG108" s="113"/>
      <c r="AH108" s="113"/>
      <c r="AI108" s="113"/>
      <c r="AJ108" s="113"/>
      <c r="AK108" s="113"/>
      <c r="AL108" s="113"/>
      <c r="AM108" s="113"/>
      <c r="AN108" s="113"/>
      <c r="AO108" s="113"/>
      <c r="AP108" s="113"/>
      <c r="AQ108" s="113"/>
      <c r="AR108" s="113"/>
      <c r="AS108" s="113"/>
      <c r="AT108" s="113"/>
      <c r="AU108" s="113"/>
      <c r="AV108" s="113"/>
      <c r="AW108" s="113"/>
      <c r="AX108" s="113"/>
      <c r="AY108" s="113"/>
      <c r="AZ108" s="113"/>
      <c r="BA108" s="113"/>
      <c r="BB108" s="113"/>
      <c r="BC108" s="113"/>
      <c r="BD108" s="113"/>
      <c r="BE108" s="113"/>
      <c r="BF108" s="113"/>
      <c r="BG108" s="113"/>
      <c r="BH108" s="113"/>
      <c r="BI108" s="113"/>
      <c r="BJ108" s="113"/>
    </row>
    <row r="109" spans="1:62" x14ac:dyDescent="0.2">
      <c r="A109" s="113"/>
      <c r="B109" s="113"/>
      <c r="C109" s="114"/>
      <c r="D109" s="113"/>
      <c r="E109" s="113"/>
      <c r="F109" s="113"/>
      <c r="G109" s="113"/>
      <c r="H109" s="113"/>
      <c r="I109" s="113"/>
      <c r="J109" s="113"/>
      <c r="K109" s="113"/>
      <c r="L109" s="113"/>
      <c r="M109" s="113"/>
      <c r="N109" s="113"/>
      <c r="O109" s="113"/>
      <c r="P109" s="113"/>
      <c r="Q109" s="113"/>
      <c r="R109" s="113"/>
      <c r="S109" s="113"/>
      <c r="T109" s="113"/>
      <c r="U109" s="113"/>
      <c r="V109" s="113"/>
      <c r="W109" s="113"/>
      <c r="X109" s="113"/>
      <c r="Y109" s="113"/>
      <c r="Z109" s="113"/>
      <c r="AA109" s="113"/>
      <c r="AB109" s="113"/>
      <c r="AC109" s="113"/>
      <c r="AD109" s="113"/>
      <c r="AE109" s="113"/>
      <c r="AF109" s="113"/>
      <c r="AG109" s="113"/>
      <c r="AH109" s="113"/>
      <c r="AI109" s="113"/>
      <c r="AJ109" s="113"/>
      <c r="AK109" s="113"/>
      <c r="AL109" s="113"/>
      <c r="AM109" s="113"/>
      <c r="AN109" s="113"/>
      <c r="AO109" s="113"/>
      <c r="AP109" s="113"/>
      <c r="AQ109" s="113"/>
      <c r="AR109" s="113"/>
      <c r="AS109" s="113"/>
      <c r="AT109" s="113"/>
      <c r="AU109" s="113"/>
      <c r="AV109" s="113"/>
      <c r="AW109" s="113"/>
      <c r="AX109" s="113"/>
      <c r="AY109" s="113"/>
      <c r="AZ109" s="113"/>
      <c r="BA109" s="113"/>
      <c r="BB109" s="113"/>
      <c r="BC109" s="113"/>
      <c r="BD109" s="113"/>
      <c r="BE109" s="113"/>
      <c r="BF109" s="113"/>
      <c r="BG109" s="113"/>
      <c r="BH109" s="113"/>
      <c r="BI109" s="113"/>
      <c r="BJ109" s="113"/>
    </row>
    <row r="110" spans="1:62" x14ac:dyDescent="0.2">
      <c r="A110" s="113"/>
      <c r="B110" s="113"/>
      <c r="C110" s="114"/>
      <c r="D110" s="113"/>
      <c r="E110" s="113"/>
      <c r="F110" s="113"/>
      <c r="G110" s="113"/>
      <c r="H110" s="113"/>
      <c r="I110" s="113"/>
      <c r="J110" s="113"/>
      <c r="K110" s="113"/>
      <c r="L110" s="113"/>
      <c r="M110" s="113"/>
      <c r="N110" s="113"/>
      <c r="O110" s="113"/>
      <c r="P110" s="113"/>
      <c r="Q110" s="113"/>
      <c r="R110" s="113"/>
      <c r="S110" s="113"/>
      <c r="T110" s="113"/>
      <c r="U110" s="113"/>
      <c r="V110" s="113"/>
      <c r="W110" s="113"/>
      <c r="X110" s="113"/>
      <c r="Y110" s="113"/>
      <c r="Z110" s="113"/>
      <c r="AA110" s="113"/>
      <c r="AB110" s="113"/>
      <c r="AC110" s="113"/>
      <c r="AD110" s="113"/>
      <c r="AE110" s="113"/>
      <c r="AF110" s="113"/>
      <c r="AG110" s="113"/>
      <c r="AH110" s="113"/>
      <c r="AI110" s="113"/>
      <c r="AJ110" s="113"/>
      <c r="AK110" s="113"/>
      <c r="AL110" s="113"/>
      <c r="AM110" s="113"/>
      <c r="AN110" s="113"/>
      <c r="AO110" s="113"/>
      <c r="AP110" s="113"/>
      <c r="AQ110" s="113"/>
      <c r="AR110" s="113"/>
      <c r="AS110" s="113"/>
      <c r="AT110" s="113"/>
      <c r="AU110" s="113"/>
      <c r="AV110" s="113"/>
      <c r="AW110" s="113"/>
      <c r="AX110" s="113"/>
      <c r="AY110" s="113"/>
      <c r="AZ110" s="113"/>
      <c r="BA110" s="113"/>
      <c r="BB110" s="113"/>
      <c r="BC110" s="113"/>
      <c r="BD110" s="113"/>
      <c r="BE110" s="113"/>
      <c r="BF110" s="113"/>
      <c r="BG110" s="113"/>
      <c r="BH110" s="113"/>
      <c r="BI110" s="113"/>
      <c r="BJ110" s="113"/>
    </row>
    <row r="111" spans="1:62" x14ac:dyDescent="0.2">
      <c r="A111" s="113"/>
      <c r="B111" s="113"/>
      <c r="C111" s="114"/>
      <c r="D111" s="113"/>
      <c r="E111" s="113"/>
      <c r="F111" s="113"/>
      <c r="G111" s="113"/>
      <c r="H111" s="113"/>
      <c r="I111" s="113"/>
      <c r="J111" s="113"/>
      <c r="K111" s="113"/>
      <c r="L111" s="113"/>
      <c r="M111" s="113"/>
      <c r="N111" s="113"/>
      <c r="O111" s="113"/>
      <c r="P111" s="113"/>
      <c r="Q111" s="113"/>
      <c r="R111" s="113"/>
      <c r="S111" s="113"/>
      <c r="T111" s="113"/>
      <c r="U111" s="113"/>
      <c r="V111" s="113"/>
      <c r="W111" s="113"/>
      <c r="X111" s="113"/>
      <c r="Y111" s="113"/>
      <c r="Z111" s="113"/>
      <c r="AA111" s="113"/>
      <c r="AB111" s="113"/>
      <c r="AC111" s="113"/>
      <c r="AD111" s="113"/>
      <c r="AE111" s="113"/>
      <c r="AF111" s="113"/>
      <c r="AG111" s="113"/>
      <c r="AH111" s="113"/>
      <c r="AI111" s="113"/>
      <c r="AJ111" s="113"/>
      <c r="AK111" s="113"/>
      <c r="AL111" s="113"/>
      <c r="AM111" s="113"/>
      <c r="AN111" s="113"/>
      <c r="AO111" s="113"/>
      <c r="AP111" s="113"/>
      <c r="AQ111" s="113"/>
      <c r="AR111" s="113"/>
      <c r="AS111" s="113"/>
      <c r="AT111" s="113"/>
      <c r="AU111" s="113"/>
      <c r="AV111" s="113"/>
      <c r="AW111" s="113"/>
      <c r="AX111" s="113"/>
      <c r="AY111" s="113"/>
      <c r="AZ111" s="113"/>
      <c r="BA111" s="113"/>
      <c r="BB111" s="113"/>
      <c r="BC111" s="113"/>
      <c r="BD111" s="113"/>
      <c r="BE111" s="113"/>
      <c r="BF111" s="113"/>
      <c r="BG111" s="113"/>
      <c r="BH111" s="113"/>
      <c r="BI111" s="113"/>
      <c r="BJ111" s="113"/>
    </row>
    <row r="112" spans="1:62" x14ac:dyDescent="0.2">
      <c r="A112" s="113"/>
      <c r="B112" s="113"/>
      <c r="C112" s="114"/>
      <c r="D112" s="113"/>
      <c r="E112" s="113"/>
      <c r="F112" s="113"/>
      <c r="G112" s="113"/>
      <c r="H112" s="113"/>
      <c r="I112" s="113"/>
      <c r="J112" s="113"/>
      <c r="K112" s="113"/>
      <c r="L112" s="113"/>
      <c r="M112" s="113"/>
      <c r="N112" s="113"/>
      <c r="O112" s="113"/>
      <c r="P112" s="113"/>
      <c r="Q112" s="113"/>
      <c r="R112" s="113"/>
      <c r="S112" s="113"/>
      <c r="T112" s="113"/>
      <c r="U112" s="113"/>
      <c r="V112" s="113"/>
      <c r="W112" s="113"/>
      <c r="X112" s="113"/>
      <c r="Y112" s="113"/>
      <c r="Z112" s="113"/>
      <c r="AA112" s="113"/>
      <c r="AB112" s="113"/>
      <c r="AC112" s="113"/>
      <c r="AD112" s="113"/>
      <c r="AE112" s="113"/>
      <c r="AF112" s="113"/>
      <c r="AG112" s="113"/>
      <c r="AH112" s="113"/>
      <c r="AI112" s="113"/>
      <c r="AJ112" s="113"/>
      <c r="AK112" s="113"/>
      <c r="AL112" s="113"/>
      <c r="AM112" s="113"/>
      <c r="AN112" s="113"/>
      <c r="AO112" s="113"/>
      <c r="AP112" s="113"/>
      <c r="AQ112" s="113"/>
      <c r="AR112" s="113"/>
      <c r="AS112" s="113"/>
      <c r="AT112" s="113"/>
      <c r="AU112" s="113"/>
      <c r="AV112" s="113"/>
      <c r="AW112" s="113"/>
      <c r="AX112" s="113"/>
      <c r="AY112" s="113"/>
      <c r="AZ112" s="113"/>
      <c r="BA112" s="113"/>
      <c r="BB112" s="113"/>
      <c r="BC112" s="113"/>
      <c r="BD112" s="113"/>
      <c r="BE112" s="113"/>
      <c r="BF112" s="113"/>
      <c r="BG112" s="113"/>
      <c r="BH112" s="113"/>
      <c r="BI112" s="113"/>
      <c r="BJ112" s="113"/>
    </row>
    <row r="113" spans="1:62" x14ac:dyDescent="0.2">
      <c r="A113" s="113"/>
      <c r="B113" s="113"/>
      <c r="C113" s="114"/>
      <c r="D113" s="113"/>
      <c r="E113" s="113"/>
      <c r="F113" s="113"/>
      <c r="G113" s="113"/>
      <c r="H113" s="113"/>
      <c r="I113" s="113"/>
      <c r="J113" s="113"/>
      <c r="K113" s="113"/>
      <c r="L113" s="113"/>
      <c r="M113" s="113"/>
      <c r="N113" s="113"/>
      <c r="O113" s="113"/>
      <c r="P113" s="113"/>
      <c r="Q113" s="113"/>
      <c r="R113" s="113"/>
      <c r="S113" s="113"/>
      <c r="T113" s="113"/>
      <c r="U113" s="113"/>
      <c r="V113" s="113"/>
      <c r="W113" s="113"/>
      <c r="X113" s="113"/>
      <c r="Y113" s="113"/>
      <c r="Z113" s="113"/>
      <c r="AA113" s="113"/>
      <c r="AB113" s="113"/>
      <c r="AC113" s="113"/>
      <c r="AD113" s="113"/>
      <c r="AE113" s="113"/>
      <c r="AF113" s="113"/>
      <c r="AG113" s="113"/>
      <c r="AH113" s="113"/>
      <c r="AI113" s="113"/>
      <c r="AJ113" s="113"/>
      <c r="AK113" s="113"/>
      <c r="AL113" s="113"/>
      <c r="AM113" s="113"/>
      <c r="AN113" s="113"/>
      <c r="AO113" s="113"/>
      <c r="AP113" s="113"/>
      <c r="AQ113" s="113"/>
      <c r="AR113" s="113"/>
      <c r="AS113" s="113"/>
      <c r="AT113" s="113"/>
      <c r="AU113" s="113"/>
      <c r="AV113" s="113"/>
      <c r="AW113" s="113"/>
      <c r="AX113" s="113"/>
      <c r="AY113" s="113"/>
      <c r="AZ113" s="113"/>
      <c r="BA113" s="113"/>
      <c r="BB113" s="113"/>
      <c r="BC113" s="113"/>
      <c r="BD113" s="113"/>
      <c r="BE113" s="113"/>
      <c r="BF113" s="113"/>
      <c r="BG113" s="113"/>
      <c r="BH113" s="113"/>
      <c r="BI113" s="113"/>
      <c r="BJ113" s="113"/>
    </row>
    <row r="114" spans="1:62" x14ac:dyDescent="0.2">
      <c r="A114" s="113"/>
      <c r="B114" s="113"/>
      <c r="C114" s="114"/>
      <c r="D114" s="113"/>
      <c r="E114" s="113"/>
      <c r="F114" s="113"/>
      <c r="G114" s="113"/>
      <c r="H114" s="113"/>
      <c r="I114" s="113"/>
      <c r="J114" s="113"/>
      <c r="K114" s="113"/>
      <c r="L114" s="113"/>
      <c r="M114" s="113"/>
      <c r="N114" s="113"/>
      <c r="O114" s="113"/>
      <c r="P114" s="113"/>
      <c r="Q114" s="113"/>
      <c r="R114" s="113"/>
      <c r="S114" s="113"/>
      <c r="T114" s="113"/>
      <c r="U114" s="113"/>
      <c r="V114" s="113"/>
      <c r="W114" s="113"/>
      <c r="X114" s="113"/>
      <c r="Y114" s="113"/>
      <c r="Z114" s="113"/>
      <c r="AA114" s="113"/>
      <c r="AB114" s="113"/>
      <c r="AC114" s="113"/>
      <c r="AD114" s="113"/>
      <c r="AE114" s="113"/>
      <c r="AF114" s="113"/>
      <c r="AG114" s="113"/>
      <c r="AH114" s="113"/>
      <c r="AI114" s="113"/>
      <c r="AJ114" s="113"/>
      <c r="AK114" s="113"/>
      <c r="AL114" s="113"/>
      <c r="AM114" s="113"/>
      <c r="AN114" s="113"/>
      <c r="AO114" s="113"/>
      <c r="AP114" s="113"/>
      <c r="AQ114" s="113"/>
      <c r="AR114" s="113"/>
      <c r="AS114" s="113"/>
      <c r="AT114" s="113"/>
      <c r="AU114" s="113"/>
      <c r="AV114" s="113"/>
      <c r="AW114" s="113"/>
      <c r="AX114" s="113"/>
      <c r="AY114" s="113"/>
      <c r="AZ114" s="113"/>
      <c r="BA114" s="113"/>
      <c r="BB114" s="113"/>
      <c r="BC114" s="113"/>
      <c r="BD114" s="113"/>
      <c r="BE114" s="113"/>
      <c r="BF114" s="113"/>
      <c r="BG114" s="113"/>
      <c r="BH114" s="113"/>
      <c r="BI114" s="113"/>
      <c r="BJ114" s="113"/>
    </row>
    <row r="115" spans="1:62" x14ac:dyDescent="0.2">
      <c r="A115" s="113"/>
      <c r="B115" s="113"/>
      <c r="C115" s="114"/>
      <c r="D115" s="113"/>
      <c r="E115" s="113"/>
      <c r="F115" s="113"/>
      <c r="G115" s="113"/>
      <c r="H115" s="113"/>
      <c r="I115" s="113"/>
      <c r="J115" s="113"/>
      <c r="K115" s="113"/>
      <c r="L115" s="113"/>
      <c r="M115" s="113"/>
      <c r="N115" s="113"/>
      <c r="O115" s="113"/>
      <c r="P115" s="113"/>
      <c r="Q115" s="113"/>
      <c r="R115" s="113"/>
      <c r="S115" s="113"/>
      <c r="T115" s="113"/>
      <c r="U115" s="113"/>
      <c r="V115" s="113"/>
      <c r="W115" s="113"/>
      <c r="X115" s="113"/>
      <c r="Y115" s="113"/>
      <c r="Z115" s="113"/>
      <c r="AA115" s="113"/>
      <c r="AB115" s="113"/>
      <c r="AC115" s="113"/>
      <c r="AD115" s="113"/>
      <c r="AE115" s="113"/>
      <c r="AF115" s="113"/>
      <c r="AG115" s="113"/>
      <c r="AH115" s="113"/>
      <c r="AI115" s="113"/>
      <c r="AJ115" s="113"/>
      <c r="AK115" s="113"/>
      <c r="AL115" s="113"/>
      <c r="AM115" s="113"/>
      <c r="AN115" s="113"/>
      <c r="AO115" s="113"/>
      <c r="AP115" s="113"/>
      <c r="AQ115" s="113"/>
      <c r="AR115" s="113"/>
      <c r="AS115" s="113"/>
      <c r="AT115" s="113"/>
      <c r="AU115" s="113"/>
      <c r="AV115" s="113"/>
      <c r="AW115" s="113"/>
      <c r="AX115" s="113"/>
      <c r="AY115" s="113"/>
      <c r="AZ115" s="113"/>
      <c r="BA115" s="113"/>
      <c r="BB115" s="113"/>
      <c r="BC115" s="113"/>
      <c r="BD115" s="113"/>
      <c r="BE115" s="113"/>
      <c r="BF115" s="113"/>
      <c r="BG115" s="113"/>
      <c r="BH115" s="113"/>
      <c r="BI115" s="113"/>
      <c r="BJ115" s="113"/>
    </row>
    <row r="116" spans="1:62" x14ac:dyDescent="0.2">
      <c r="A116" s="113"/>
      <c r="B116" s="113"/>
      <c r="C116" s="114"/>
      <c r="D116" s="113"/>
      <c r="E116" s="113"/>
      <c r="F116" s="113"/>
      <c r="G116" s="113"/>
      <c r="H116" s="113"/>
      <c r="I116" s="113"/>
      <c r="J116" s="113"/>
      <c r="K116" s="113"/>
      <c r="L116" s="113"/>
      <c r="M116" s="113"/>
      <c r="N116" s="113"/>
      <c r="O116" s="113"/>
      <c r="P116" s="113"/>
      <c r="Q116" s="113"/>
      <c r="R116" s="113"/>
      <c r="S116" s="113"/>
      <c r="T116" s="113"/>
      <c r="U116" s="113"/>
      <c r="V116" s="113"/>
      <c r="W116" s="113"/>
      <c r="X116" s="113"/>
      <c r="Y116" s="113"/>
      <c r="Z116" s="113"/>
      <c r="AA116" s="113"/>
      <c r="AB116" s="113"/>
      <c r="AC116" s="113"/>
      <c r="AD116" s="113"/>
      <c r="AE116" s="113"/>
      <c r="AF116" s="113"/>
      <c r="AG116" s="113"/>
      <c r="AH116" s="113"/>
      <c r="AI116" s="113"/>
      <c r="AJ116" s="113"/>
      <c r="AK116" s="113"/>
      <c r="AL116" s="113"/>
      <c r="AM116" s="113"/>
      <c r="AN116" s="113"/>
      <c r="AO116" s="113"/>
      <c r="AP116" s="113"/>
      <c r="AQ116" s="113"/>
      <c r="AR116" s="113"/>
      <c r="AS116" s="113"/>
      <c r="AT116" s="113"/>
      <c r="AU116" s="113"/>
      <c r="AV116" s="113"/>
      <c r="AW116" s="113"/>
      <c r="AX116" s="113"/>
      <c r="AY116" s="113"/>
      <c r="AZ116" s="113"/>
      <c r="BA116" s="113"/>
      <c r="BB116" s="113"/>
      <c r="BC116" s="113"/>
      <c r="BD116" s="113"/>
      <c r="BE116" s="113"/>
      <c r="BF116" s="113"/>
      <c r="BG116" s="113"/>
      <c r="BH116" s="113"/>
      <c r="BI116" s="113"/>
      <c r="BJ116" s="113"/>
    </row>
    <row r="117" spans="1:62" x14ac:dyDescent="0.2">
      <c r="A117" s="113"/>
      <c r="B117" s="113"/>
      <c r="C117" s="114"/>
      <c r="D117" s="113"/>
      <c r="E117" s="113"/>
      <c r="F117" s="113"/>
      <c r="G117" s="113"/>
      <c r="H117" s="113"/>
      <c r="I117" s="113"/>
      <c r="J117" s="113"/>
      <c r="K117" s="113"/>
      <c r="L117" s="113"/>
      <c r="M117" s="113"/>
      <c r="N117" s="113"/>
      <c r="O117" s="113"/>
      <c r="P117" s="113"/>
      <c r="Q117" s="113"/>
      <c r="R117" s="113"/>
      <c r="S117" s="113"/>
      <c r="T117" s="113"/>
      <c r="U117" s="113"/>
      <c r="V117" s="113"/>
      <c r="W117" s="113"/>
      <c r="X117" s="113"/>
      <c r="Y117" s="113"/>
      <c r="Z117" s="113"/>
      <c r="AA117" s="113"/>
      <c r="AB117" s="113"/>
      <c r="AC117" s="113"/>
      <c r="AD117" s="113"/>
      <c r="AE117" s="113"/>
      <c r="AF117" s="113"/>
      <c r="AG117" s="113"/>
      <c r="AH117" s="113"/>
      <c r="AI117" s="113"/>
      <c r="AJ117" s="113"/>
      <c r="AK117" s="113"/>
      <c r="AL117" s="113"/>
      <c r="AM117" s="113"/>
      <c r="AN117" s="113"/>
      <c r="AO117" s="113"/>
      <c r="AP117" s="113"/>
      <c r="AQ117" s="113"/>
      <c r="AR117" s="113"/>
      <c r="AS117" s="113"/>
      <c r="AT117" s="113"/>
      <c r="AU117" s="113"/>
      <c r="AV117" s="113"/>
      <c r="AW117" s="113"/>
      <c r="AX117" s="113"/>
      <c r="AY117" s="113"/>
      <c r="AZ117" s="113"/>
      <c r="BA117" s="113"/>
      <c r="BB117" s="113"/>
      <c r="BC117" s="113"/>
      <c r="BD117" s="113"/>
      <c r="BE117" s="113"/>
      <c r="BF117" s="113"/>
      <c r="BG117" s="113"/>
      <c r="BH117" s="113"/>
      <c r="BI117" s="113"/>
      <c r="BJ117" s="113"/>
    </row>
    <row r="118" spans="1:62" x14ac:dyDescent="0.2">
      <c r="A118" s="113"/>
      <c r="B118" s="113"/>
      <c r="C118" s="114"/>
      <c r="D118" s="113"/>
      <c r="E118" s="113"/>
      <c r="F118" s="113"/>
      <c r="G118" s="113"/>
      <c r="H118" s="113"/>
      <c r="I118" s="113"/>
      <c r="J118" s="113"/>
      <c r="K118" s="113"/>
      <c r="L118" s="113"/>
      <c r="M118" s="113"/>
      <c r="N118" s="113"/>
      <c r="O118" s="113"/>
      <c r="P118" s="113"/>
      <c r="Q118" s="113"/>
      <c r="R118" s="113"/>
      <c r="S118" s="113"/>
      <c r="T118" s="113"/>
      <c r="U118" s="113"/>
      <c r="V118" s="113"/>
      <c r="W118" s="113"/>
      <c r="X118" s="113"/>
      <c r="Y118" s="113"/>
      <c r="Z118" s="113"/>
      <c r="AA118" s="113"/>
      <c r="AB118" s="113"/>
      <c r="AC118" s="113"/>
      <c r="AD118" s="113"/>
      <c r="AE118" s="113"/>
      <c r="AF118" s="113"/>
      <c r="AG118" s="113"/>
      <c r="AH118" s="113"/>
      <c r="AI118" s="113"/>
      <c r="AJ118" s="113"/>
      <c r="AK118" s="113"/>
      <c r="AL118" s="113"/>
      <c r="AM118" s="113"/>
      <c r="AN118" s="113"/>
      <c r="AO118" s="113"/>
      <c r="AP118" s="113"/>
      <c r="AQ118" s="113"/>
      <c r="AR118" s="113"/>
      <c r="AS118" s="113"/>
      <c r="AT118" s="113"/>
      <c r="AU118" s="113"/>
      <c r="AV118" s="113"/>
      <c r="AW118" s="113"/>
      <c r="AX118" s="113"/>
      <c r="AY118" s="113"/>
      <c r="AZ118" s="113"/>
      <c r="BA118" s="113"/>
      <c r="BB118" s="113"/>
      <c r="BC118" s="113"/>
      <c r="BD118" s="113"/>
      <c r="BE118" s="113"/>
      <c r="BF118" s="113"/>
      <c r="BG118" s="113"/>
      <c r="BH118" s="113"/>
      <c r="BI118" s="113"/>
      <c r="BJ118" s="113"/>
    </row>
    <row r="119" spans="1:62" x14ac:dyDescent="0.2">
      <c r="A119" s="113"/>
      <c r="B119" s="113"/>
      <c r="C119" s="114"/>
      <c r="D119" s="113"/>
      <c r="E119" s="113"/>
      <c r="F119" s="113"/>
      <c r="G119" s="113"/>
      <c r="H119" s="113"/>
      <c r="I119" s="113"/>
      <c r="J119" s="113"/>
      <c r="K119" s="113"/>
      <c r="L119" s="113"/>
      <c r="M119" s="113"/>
      <c r="N119" s="113"/>
      <c r="O119" s="113"/>
      <c r="P119" s="113"/>
      <c r="Q119" s="113"/>
      <c r="R119" s="113"/>
      <c r="S119" s="113"/>
      <c r="T119" s="113"/>
      <c r="U119" s="113"/>
      <c r="V119" s="113"/>
      <c r="W119" s="113"/>
      <c r="X119" s="113"/>
      <c r="Y119" s="113"/>
      <c r="Z119" s="113"/>
      <c r="AA119" s="113"/>
      <c r="AB119" s="113"/>
      <c r="AC119" s="113"/>
      <c r="AD119" s="113"/>
      <c r="AE119" s="113"/>
      <c r="AF119" s="113"/>
      <c r="AG119" s="113"/>
      <c r="AH119" s="113"/>
      <c r="AI119" s="113"/>
      <c r="AJ119" s="113"/>
      <c r="AK119" s="113"/>
      <c r="AL119" s="113"/>
      <c r="AM119" s="113"/>
      <c r="AN119" s="113"/>
      <c r="AO119" s="113"/>
      <c r="AP119" s="113"/>
      <c r="AQ119" s="113"/>
      <c r="AR119" s="113"/>
      <c r="AS119" s="113"/>
      <c r="AT119" s="113"/>
      <c r="AU119" s="113"/>
      <c r="AV119" s="113"/>
      <c r="AW119" s="113"/>
      <c r="AX119" s="113"/>
      <c r="AY119" s="113"/>
      <c r="AZ119" s="113"/>
      <c r="BA119" s="113"/>
      <c r="BB119" s="113"/>
      <c r="BC119" s="113"/>
      <c r="BD119" s="113"/>
      <c r="BE119" s="113"/>
      <c r="BF119" s="113"/>
      <c r="BG119" s="113"/>
      <c r="BH119" s="113"/>
      <c r="BI119" s="113"/>
      <c r="BJ119" s="113"/>
    </row>
    <row r="120" spans="1:62" x14ac:dyDescent="0.2">
      <c r="A120" s="113"/>
      <c r="B120" s="113"/>
      <c r="C120" s="114"/>
      <c r="D120" s="113"/>
      <c r="E120" s="113"/>
      <c r="F120" s="113"/>
      <c r="G120" s="113"/>
      <c r="H120" s="113"/>
      <c r="I120" s="113"/>
      <c r="J120" s="113"/>
      <c r="K120" s="113"/>
      <c r="L120" s="113"/>
      <c r="M120" s="113"/>
      <c r="N120" s="113"/>
      <c r="O120" s="113"/>
      <c r="P120" s="113"/>
      <c r="Q120" s="113"/>
      <c r="R120" s="113"/>
      <c r="S120" s="113"/>
      <c r="T120" s="113"/>
      <c r="U120" s="113"/>
      <c r="V120" s="113"/>
      <c r="W120" s="113"/>
      <c r="X120" s="113"/>
      <c r="Y120" s="113"/>
      <c r="Z120" s="113"/>
      <c r="AA120" s="113"/>
      <c r="AB120" s="113"/>
      <c r="AC120" s="113"/>
      <c r="AD120" s="113"/>
      <c r="AE120" s="113"/>
      <c r="AF120" s="113"/>
      <c r="AG120" s="113"/>
      <c r="AH120" s="113"/>
      <c r="AI120" s="113"/>
      <c r="AJ120" s="113"/>
      <c r="AK120" s="113"/>
      <c r="AL120" s="113"/>
      <c r="AM120" s="113"/>
      <c r="AN120" s="113"/>
      <c r="AO120" s="113"/>
      <c r="AP120" s="113"/>
      <c r="AQ120" s="113"/>
      <c r="AR120" s="113"/>
      <c r="AS120" s="113"/>
      <c r="AT120" s="113"/>
      <c r="AU120" s="113"/>
      <c r="AV120" s="113"/>
      <c r="AW120" s="113"/>
      <c r="AX120" s="113"/>
      <c r="AY120" s="113"/>
      <c r="AZ120" s="113"/>
      <c r="BA120" s="113"/>
      <c r="BB120" s="113"/>
      <c r="BC120" s="113"/>
      <c r="BD120" s="113"/>
      <c r="BE120" s="113"/>
      <c r="BF120" s="113"/>
      <c r="BG120" s="113"/>
      <c r="BH120" s="113"/>
      <c r="BI120" s="113"/>
      <c r="BJ120" s="113"/>
    </row>
    <row r="121" spans="1:62" x14ac:dyDescent="0.2">
      <c r="A121" s="113"/>
      <c r="B121" s="113"/>
      <c r="C121" s="114"/>
      <c r="D121" s="113"/>
      <c r="E121" s="113"/>
      <c r="F121" s="113"/>
      <c r="G121" s="113"/>
      <c r="H121" s="113"/>
      <c r="I121" s="113"/>
      <c r="J121" s="113"/>
      <c r="K121" s="113"/>
      <c r="L121" s="113"/>
      <c r="M121" s="113"/>
      <c r="N121" s="113"/>
      <c r="O121" s="113"/>
      <c r="P121" s="113"/>
      <c r="Q121" s="113"/>
      <c r="R121" s="113"/>
      <c r="S121" s="113"/>
      <c r="T121" s="113"/>
      <c r="U121" s="113"/>
      <c r="V121" s="113"/>
      <c r="W121" s="113"/>
      <c r="X121" s="113"/>
      <c r="Y121" s="113"/>
      <c r="Z121" s="113"/>
      <c r="AA121" s="113"/>
      <c r="AB121" s="113"/>
      <c r="AC121" s="113"/>
      <c r="AD121" s="113"/>
      <c r="AE121" s="113"/>
      <c r="AF121" s="113"/>
      <c r="AG121" s="113"/>
      <c r="AH121" s="113"/>
      <c r="AI121" s="113"/>
      <c r="AJ121" s="113"/>
      <c r="AK121" s="113"/>
      <c r="AL121" s="113"/>
      <c r="AM121" s="113"/>
      <c r="AN121" s="113"/>
      <c r="AO121" s="113"/>
      <c r="AP121" s="113"/>
      <c r="AQ121" s="113"/>
      <c r="AR121" s="113"/>
      <c r="AS121" s="113"/>
      <c r="AT121" s="113"/>
      <c r="AU121" s="113"/>
      <c r="AV121" s="113"/>
      <c r="AW121" s="113"/>
      <c r="AX121" s="113"/>
      <c r="AY121" s="113"/>
      <c r="AZ121" s="113"/>
      <c r="BA121" s="113"/>
      <c r="BB121" s="113"/>
      <c r="BC121" s="113"/>
      <c r="BD121" s="113"/>
      <c r="BE121" s="113"/>
      <c r="BF121" s="113"/>
      <c r="BG121" s="113"/>
      <c r="BH121" s="113"/>
      <c r="BI121" s="113"/>
      <c r="BJ121" s="113"/>
    </row>
    <row r="122" spans="1:62" x14ac:dyDescent="0.2">
      <c r="A122" s="113"/>
      <c r="B122" s="113"/>
      <c r="C122" s="114"/>
      <c r="D122" s="113"/>
      <c r="E122" s="113"/>
      <c r="F122" s="113"/>
      <c r="G122" s="113"/>
      <c r="H122" s="113"/>
      <c r="I122" s="113"/>
      <c r="J122" s="113"/>
      <c r="K122" s="113"/>
      <c r="L122" s="113"/>
      <c r="M122" s="113"/>
      <c r="N122" s="113"/>
      <c r="O122" s="113"/>
      <c r="P122" s="113"/>
      <c r="Q122" s="113"/>
      <c r="R122" s="113"/>
      <c r="S122" s="113"/>
      <c r="T122" s="113"/>
      <c r="U122" s="113"/>
      <c r="V122" s="113"/>
      <c r="W122" s="113"/>
      <c r="X122" s="113"/>
      <c r="Y122" s="113"/>
      <c r="Z122" s="113"/>
      <c r="AA122" s="113"/>
      <c r="AB122" s="113"/>
      <c r="AC122" s="113"/>
      <c r="AD122" s="113"/>
      <c r="AE122" s="113"/>
      <c r="AF122" s="113"/>
      <c r="AG122" s="113"/>
      <c r="AH122" s="113"/>
      <c r="AI122" s="113"/>
      <c r="AJ122" s="113"/>
      <c r="AK122" s="113"/>
      <c r="AL122" s="113"/>
      <c r="AM122" s="113"/>
      <c r="AN122" s="113"/>
      <c r="AO122" s="113"/>
      <c r="AP122" s="113"/>
      <c r="AQ122" s="113"/>
      <c r="AR122" s="113"/>
      <c r="AS122" s="113"/>
      <c r="AT122" s="113"/>
      <c r="AU122" s="113"/>
      <c r="AV122" s="113"/>
      <c r="AW122" s="113"/>
      <c r="AX122" s="113"/>
      <c r="AY122" s="113"/>
      <c r="AZ122" s="113"/>
      <c r="BA122" s="113"/>
      <c r="BB122" s="113"/>
      <c r="BC122" s="113"/>
      <c r="BD122" s="113"/>
      <c r="BE122" s="113"/>
      <c r="BF122" s="113"/>
      <c r="BG122" s="113"/>
      <c r="BH122" s="113"/>
      <c r="BI122" s="113"/>
      <c r="BJ122" s="113"/>
    </row>
    <row r="123" spans="1:62" x14ac:dyDescent="0.2">
      <c r="A123" s="113"/>
      <c r="B123" s="113"/>
      <c r="C123" s="114"/>
      <c r="D123" s="113"/>
      <c r="E123" s="113"/>
      <c r="F123" s="113"/>
      <c r="G123" s="113"/>
      <c r="H123" s="113"/>
      <c r="I123" s="113"/>
      <c r="J123" s="113"/>
      <c r="K123" s="113"/>
      <c r="L123" s="113"/>
      <c r="M123" s="113"/>
      <c r="N123" s="113"/>
      <c r="O123" s="113"/>
      <c r="P123" s="113"/>
      <c r="Q123" s="113"/>
      <c r="R123" s="113"/>
      <c r="S123" s="113"/>
      <c r="T123" s="113"/>
      <c r="U123" s="113"/>
      <c r="V123" s="113"/>
      <c r="W123" s="113"/>
      <c r="X123" s="113"/>
      <c r="Y123" s="113"/>
      <c r="Z123" s="113"/>
      <c r="AA123" s="113"/>
      <c r="AB123" s="113"/>
      <c r="AC123" s="113"/>
      <c r="AD123" s="113"/>
      <c r="AE123" s="113"/>
      <c r="AF123" s="113"/>
      <c r="AG123" s="113"/>
      <c r="AH123" s="113"/>
      <c r="AI123" s="113"/>
      <c r="AJ123" s="113"/>
      <c r="AK123" s="113"/>
      <c r="AL123" s="113"/>
      <c r="AM123" s="113"/>
      <c r="AN123" s="113"/>
      <c r="AO123" s="113"/>
      <c r="AP123" s="113"/>
      <c r="AQ123" s="113"/>
      <c r="AR123" s="113"/>
      <c r="AS123" s="113"/>
      <c r="AT123" s="113"/>
      <c r="AU123" s="113"/>
      <c r="AV123" s="113"/>
      <c r="AW123" s="113"/>
      <c r="AX123" s="113"/>
      <c r="AY123" s="113"/>
      <c r="AZ123" s="113"/>
      <c r="BA123" s="113"/>
      <c r="BB123" s="113"/>
      <c r="BC123" s="113"/>
      <c r="BD123" s="113"/>
      <c r="BE123" s="113"/>
      <c r="BF123" s="113"/>
      <c r="BG123" s="113"/>
      <c r="BH123" s="113"/>
      <c r="BI123" s="113"/>
      <c r="BJ123" s="113"/>
    </row>
    <row r="124" spans="1:62" x14ac:dyDescent="0.2">
      <c r="A124" s="113"/>
      <c r="B124" s="113"/>
      <c r="C124" s="114"/>
      <c r="D124" s="113"/>
      <c r="E124" s="113"/>
      <c r="F124" s="113"/>
      <c r="G124" s="113"/>
      <c r="H124" s="113"/>
      <c r="I124" s="113"/>
      <c r="J124" s="113"/>
      <c r="K124" s="113"/>
      <c r="L124" s="113"/>
      <c r="M124" s="113"/>
      <c r="N124" s="113"/>
      <c r="O124" s="113"/>
      <c r="P124" s="113"/>
      <c r="Q124" s="113"/>
      <c r="R124" s="113"/>
      <c r="S124" s="113"/>
      <c r="T124" s="113"/>
      <c r="U124" s="113"/>
      <c r="V124" s="113"/>
      <c r="W124" s="113"/>
      <c r="X124" s="113"/>
      <c r="Y124" s="113"/>
      <c r="Z124" s="113"/>
      <c r="AA124" s="113"/>
      <c r="AB124" s="113"/>
      <c r="AC124" s="113"/>
      <c r="AD124" s="113"/>
      <c r="AE124" s="113"/>
      <c r="AF124" s="113"/>
      <c r="AG124" s="113"/>
      <c r="AH124" s="113"/>
      <c r="AI124" s="113"/>
      <c r="AJ124" s="113"/>
      <c r="AK124" s="113"/>
      <c r="AL124" s="113"/>
      <c r="AM124" s="113"/>
      <c r="AN124" s="113"/>
      <c r="AO124" s="113"/>
      <c r="AP124" s="113"/>
      <c r="AQ124" s="113"/>
      <c r="AR124" s="113"/>
      <c r="AS124" s="113"/>
      <c r="AT124" s="113"/>
      <c r="AU124" s="113"/>
      <c r="AV124" s="113"/>
      <c r="AW124" s="113"/>
      <c r="AX124" s="113"/>
      <c r="AY124" s="113"/>
      <c r="AZ124" s="113"/>
      <c r="BA124" s="113"/>
      <c r="BB124" s="113"/>
      <c r="BC124" s="113"/>
      <c r="BD124" s="113"/>
      <c r="BE124" s="113"/>
      <c r="BF124" s="113"/>
      <c r="BG124" s="113"/>
      <c r="BH124" s="113"/>
      <c r="BI124" s="113"/>
      <c r="BJ124" s="113"/>
    </row>
    <row r="125" spans="1:62" x14ac:dyDescent="0.2">
      <c r="A125" s="113"/>
      <c r="B125" s="113"/>
      <c r="C125" s="114"/>
      <c r="D125" s="113"/>
      <c r="E125" s="113"/>
      <c r="F125" s="113"/>
      <c r="G125" s="113"/>
      <c r="H125" s="113"/>
      <c r="I125" s="113"/>
      <c r="J125" s="113"/>
      <c r="K125" s="113"/>
      <c r="L125" s="113"/>
      <c r="M125" s="113"/>
      <c r="N125" s="113"/>
      <c r="O125" s="113"/>
      <c r="P125" s="113"/>
      <c r="Q125" s="113"/>
      <c r="R125" s="113"/>
      <c r="S125" s="113"/>
      <c r="T125" s="113"/>
      <c r="U125" s="113"/>
      <c r="V125" s="113"/>
      <c r="W125" s="113"/>
      <c r="X125" s="113"/>
      <c r="Y125" s="113"/>
      <c r="Z125" s="113"/>
      <c r="AA125" s="113"/>
      <c r="AB125" s="113"/>
      <c r="AC125" s="113"/>
      <c r="AD125" s="113"/>
      <c r="AE125" s="113"/>
      <c r="AF125" s="113"/>
      <c r="AG125" s="113"/>
      <c r="AH125" s="113"/>
      <c r="AI125" s="113"/>
      <c r="AJ125" s="113"/>
      <c r="AK125" s="113"/>
      <c r="AL125" s="113"/>
      <c r="AM125" s="113"/>
      <c r="AN125" s="113"/>
      <c r="AO125" s="113"/>
      <c r="AP125" s="113"/>
      <c r="AQ125" s="113"/>
      <c r="AR125" s="113"/>
      <c r="AS125" s="113"/>
      <c r="AT125" s="113"/>
      <c r="AU125" s="113"/>
      <c r="AV125" s="113"/>
      <c r="AW125" s="113"/>
      <c r="AX125" s="113"/>
      <c r="AY125" s="113"/>
      <c r="AZ125" s="113"/>
      <c r="BA125" s="113"/>
      <c r="BB125" s="113"/>
      <c r="BC125" s="113"/>
      <c r="BD125" s="113"/>
      <c r="BE125" s="113"/>
      <c r="BF125" s="113"/>
      <c r="BG125" s="113"/>
      <c r="BH125" s="113"/>
      <c r="BI125" s="113"/>
      <c r="BJ125" s="113"/>
    </row>
    <row r="126" spans="1:62" x14ac:dyDescent="0.2">
      <c r="A126" s="113"/>
      <c r="B126" s="113"/>
      <c r="C126" s="114"/>
      <c r="D126" s="113"/>
      <c r="E126" s="113"/>
      <c r="F126" s="113"/>
      <c r="G126" s="113"/>
      <c r="H126" s="113"/>
      <c r="I126" s="113"/>
      <c r="J126" s="113"/>
      <c r="K126" s="113"/>
      <c r="L126" s="113"/>
      <c r="M126" s="113"/>
      <c r="N126" s="113"/>
      <c r="O126" s="113"/>
      <c r="P126" s="113"/>
      <c r="Q126" s="113"/>
      <c r="R126" s="113"/>
      <c r="S126" s="113"/>
      <c r="T126" s="113"/>
      <c r="U126" s="113"/>
      <c r="V126" s="113"/>
      <c r="W126" s="113"/>
      <c r="X126" s="113"/>
      <c r="Y126" s="113"/>
      <c r="Z126" s="113"/>
      <c r="AA126" s="113"/>
      <c r="AB126" s="113"/>
      <c r="AC126" s="113"/>
      <c r="AD126" s="113"/>
      <c r="AE126" s="113"/>
      <c r="AF126" s="113"/>
      <c r="AG126" s="113"/>
      <c r="AH126" s="113"/>
      <c r="AI126" s="113"/>
      <c r="AJ126" s="113"/>
      <c r="AK126" s="113"/>
      <c r="AL126" s="113"/>
      <c r="AM126" s="113"/>
      <c r="AN126" s="113"/>
      <c r="AO126" s="113"/>
      <c r="AP126" s="113"/>
      <c r="AQ126" s="113"/>
      <c r="AR126" s="113"/>
      <c r="AS126" s="113"/>
      <c r="AT126" s="113"/>
      <c r="AU126" s="113"/>
      <c r="AV126" s="113"/>
      <c r="AW126" s="113"/>
      <c r="AX126" s="113"/>
      <c r="AY126" s="113"/>
      <c r="AZ126" s="113"/>
      <c r="BA126" s="113"/>
      <c r="BB126" s="113"/>
      <c r="BC126" s="113"/>
      <c r="BD126" s="113"/>
      <c r="BE126" s="113"/>
      <c r="BF126" s="113"/>
      <c r="BG126" s="113"/>
      <c r="BH126" s="113"/>
      <c r="BI126" s="113"/>
      <c r="BJ126" s="113"/>
    </row>
    <row r="127" spans="1:62" x14ac:dyDescent="0.2">
      <c r="A127" s="113"/>
      <c r="B127" s="113"/>
      <c r="C127" s="114"/>
      <c r="D127" s="113"/>
      <c r="E127" s="113"/>
      <c r="F127" s="113"/>
      <c r="G127" s="113"/>
      <c r="H127" s="113"/>
      <c r="I127" s="113"/>
      <c r="J127" s="113"/>
      <c r="K127" s="113"/>
      <c r="L127" s="113"/>
      <c r="M127" s="113"/>
      <c r="N127" s="113"/>
      <c r="O127" s="113"/>
      <c r="P127" s="113"/>
      <c r="Q127" s="113"/>
      <c r="R127" s="113"/>
      <c r="S127" s="113"/>
      <c r="T127" s="113"/>
      <c r="U127" s="113"/>
      <c r="V127" s="113"/>
      <c r="W127" s="113"/>
      <c r="X127" s="113"/>
      <c r="Y127" s="113"/>
      <c r="Z127" s="113"/>
      <c r="AA127" s="113"/>
      <c r="AB127" s="113"/>
      <c r="AC127" s="113"/>
      <c r="AD127" s="113"/>
      <c r="AE127" s="113"/>
      <c r="AF127" s="113"/>
      <c r="AG127" s="113"/>
      <c r="AH127" s="113"/>
      <c r="AI127" s="113"/>
      <c r="AJ127" s="113"/>
      <c r="AK127" s="113"/>
      <c r="AL127" s="113"/>
      <c r="AM127" s="113"/>
      <c r="AN127" s="113"/>
      <c r="AO127" s="113"/>
      <c r="AP127" s="113"/>
      <c r="AQ127" s="113"/>
      <c r="AR127" s="113"/>
      <c r="AS127" s="113"/>
      <c r="AT127" s="113"/>
      <c r="AU127" s="113"/>
      <c r="AV127" s="113"/>
      <c r="AW127" s="113"/>
      <c r="AX127" s="113"/>
      <c r="AY127" s="113"/>
      <c r="AZ127" s="113"/>
      <c r="BA127" s="113"/>
      <c r="BB127" s="113"/>
      <c r="BC127" s="113"/>
      <c r="BD127" s="113"/>
      <c r="BE127" s="113"/>
      <c r="BF127" s="113"/>
      <c r="BG127" s="113"/>
      <c r="BH127" s="113"/>
      <c r="BI127" s="113"/>
      <c r="BJ127" s="113"/>
    </row>
    <row r="128" spans="1:62" x14ac:dyDescent="0.2">
      <c r="A128" s="113"/>
      <c r="B128" s="113"/>
      <c r="C128" s="114"/>
      <c r="D128" s="113"/>
      <c r="E128" s="113"/>
      <c r="F128" s="113"/>
      <c r="G128" s="113"/>
      <c r="H128" s="113"/>
      <c r="I128" s="113"/>
      <c r="J128" s="113"/>
      <c r="K128" s="113"/>
      <c r="L128" s="113"/>
      <c r="M128" s="113"/>
      <c r="N128" s="113"/>
      <c r="O128" s="113"/>
      <c r="P128" s="113"/>
      <c r="Q128" s="113"/>
      <c r="R128" s="113"/>
      <c r="S128" s="113"/>
      <c r="T128" s="113"/>
      <c r="U128" s="113"/>
      <c r="V128" s="113"/>
      <c r="W128" s="113"/>
      <c r="X128" s="113"/>
      <c r="Y128" s="113"/>
      <c r="Z128" s="113"/>
      <c r="AA128" s="113"/>
      <c r="AB128" s="113"/>
      <c r="AC128" s="113"/>
      <c r="AD128" s="113"/>
      <c r="AE128" s="113"/>
      <c r="AF128" s="113"/>
      <c r="AG128" s="113"/>
      <c r="AH128" s="113"/>
      <c r="AI128" s="113"/>
      <c r="AJ128" s="113"/>
      <c r="AK128" s="113"/>
      <c r="AL128" s="113"/>
      <c r="AM128" s="113"/>
      <c r="AN128" s="113"/>
      <c r="AO128" s="113"/>
      <c r="AP128" s="113"/>
      <c r="AQ128" s="113"/>
      <c r="AR128" s="113"/>
      <c r="AS128" s="113"/>
      <c r="AT128" s="113"/>
      <c r="AU128" s="113"/>
      <c r="AV128" s="113"/>
      <c r="AW128" s="113"/>
      <c r="AX128" s="113"/>
      <c r="AY128" s="113"/>
      <c r="AZ128" s="113"/>
      <c r="BA128" s="113"/>
      <c r="BB128" s="113"/>
      <c r="BC128" s="113"/>
      <c r="BD128" s="113"/>
      <c r="BE128" s="113"/>
      <c r="BF128" s="113"/>
      <c r="BG128" s="113"/>
      <c r="BH128" s="113"/>
      <c r="BI128" s="113"/>
      <c r="BJ128" s="113"/>
    </row>
    <row r="129" spans="1:62" x14ac:dyDescent="0.2">
      <c r="A129" s="113"/>
      <c r="B129" s="113"/>
      <c r="C129" s="114"/>
      <c r="D129" s="113"/>
      <c r="E129" s="113"/>
      <c r="F129" s="113"/>
      <c r="G129" s="113"/>
      <c r="H129" s="113"/>
      <c r="I129" s="113"/>
      <c r="J129" s="113"/>
      <c r="K129" s="113"/>
      <c r="L129" s="113"/>
      <c r="M129" s="113"/>
      <c r="N129" s="113"/>
      <c r="O129" s="113"/>
      <c r="P129" s="113"/>
      <c r="Q129" s="113"/>
      <c r="R129" s="113"/>
      <c r="S129" s="113"/>
      <c r="T129" s="113"/>
      <c r="U129" s="113"/>
      <c r="V129" s="113"/>
      <c r="W129" s="113"/>
      <c r="X129" s="113"/>
      <c r="Y129" s="113"/>
      <c r="Z129" s="113"/>
      <c r="AA129" s="113"/>
      <c r="AB129" s="113"/>
      <c r="AC129" s="113"/>
      <c r="AD129" s="113"/>
      <c r="AE129" s="113"/>
      <c r="AF129" s="113"/>
      <c r="AG129" s="113"/>
      <c r="AH129" s="113"/>
      <c r="AI129" s="113"/>
      <c r="AJ129" s="113"/>
      <c r="AK129" s="113"/>
      <c r="AL129" s="113"/>
      <c r="AM129" s="113"/>
      <c r="AN129" s="113"/>
      <c r="AO129" s="113"/>
      <c r="AP129" s="113"/>
      <c r="AQ129" s="113"/>
      <c r="AR129" s="113"/>
      <c r="AS129" s="113"/>
      <c r="AT129" s="113"/>
      <c r="AU129" s="113"/>
      <c r="AV129" s="113"/>
      <c r="AW129" s="113"/>
      <c r="AX129" s="113"/>
      <c r="AY129" s="113"/>
      <c r="AZ129" s="113"/>
      <c r="BA129" s="113"/>
      <c r="BB129" s="113"/>
      <c r="BC129" s="113"/>
      <c r="BD129" s="113"/>
      <c r="BE129" s="113"/>
      <c r="BF129" s="113"/>
      <c r="BG129" s="113"/>
      <c r="BH129" s="113"/>
      <c r="BI129" s="113"/>
      <c r="BJ129" s="113"/>
    </row>
    <row r="130" spans="1:62" x14ac:dyDescent="0.2">
      <c r="A130" s="113"/>
      <c r="B130" s="113"/>
      <c r="C130" s="114"/>
      <c r="D130" s="113"/>
      <c r="E130" s="113"/>
      <c r="F130" s="113"/>
      <c r="G130" s="113"/>
      <c r="H130" s="113"/>
      <c r="I130" s="113"/>
      <c r="J130" s="113"/>
      <c r="K130" s="113"/>
      <c r="L130" s="113"/>
      <c r="M130" s="113"/>
      <c r="N130" s="113"/>
      <c r="O130" s="113"/>
      <c r="P130" s="113"/>
      <c r="Q130" s="113"/>
      <c r="R130" s="113"/>
      <c r="S130" s="113"/>
      <c r="T130" s="113"/>
      <c r="U130" s="113"/>
      <c r="V130" s="113"/>
      <c r="W130" s="113"/>
      <c r="X130" s="113"/>
      <c r="Y130" s="113"/>
      <c r="Z130" s="113"/>
      <c r="AA130" s="113"/>
      <c r="AB130" s="113"/>
      <c r="AC130" s="113"/>
      <c r="AD130" s="113"/>
      <c r="AE130" s="113"/>
      <c r="AF130" s="113"/>
      <c r="AG130" s="113"/>
      <c r="AH130" s="113"/>
      <c r="AI130" s="113"/>
      <c r="AJ130" s="113"/>
      <c r="AK130" s="113"/>
      <c r="AL130" s="113"/>
      <c r="AM130" s="113"/>
      <c r="AN130" s="113"/>
      <c r="AO130" s="113"/>
      <c r="AP130" s="113"/>
      <c r="AQ130" s="113"/>
      <c r="AR130" s="113"/>
      <c r="AS130" s="113"/>
      <c r="AT130" s="113"/>
      <c r="AU130" s="113"/>
      <c r="AV130" s="113"/>
      <c r="AW130" s="113"/>
      <c r="AX130" s="113"/>
      <c r="AY130" s="113"/>
      <c r="AZ130" s="113"/>
      <c r="BA130" s="113"/>
      <c r="BB130" s="113"/>
      <c r="BC130" s="113"/>
      <c r="BD130" s="113"/>
      <c r="BE130" s="113"/>
      <c r="BF130" s="113"/>
      <c r="BG130" s="113"/>
      <c r="BH130" s="113"/>
      <c r="BI130" s="113"/>
      <c r="BJ130" s="113"/>
    </row>
    <row r="131" spans="1:62" x14ac:dyDescent="0.2">
      <c r="A131" s="113"/>
      <c r="B131" s="113"/>
      <c r="C131" s="114"/>
      <c r="D131" s="113"/>
      <c r="E131" s="113"/>
      <c r="F131" s="113"/>
      <c r="G131" s="113"/>
      <c r="H131" s="113"/>
      <c r="I131" s="113"/>
      <c r="J131" s="113"/>
      <c r="K131" s="113"/>
      <c r="L131" s="113"/>
      <c r="M131" s="113"/>
      <c r="N131" s="113"/>
      <c r="O131" s="113"/>
      <c r="P131" s="113"/>
      <c r="Q131" s="113"/>
      <c r="R131" s="113"/>
      <c r="S131" s="113"/>
      <c r="T131" s="113"/>
      <c r="U131" s="113"/>
      <c r="V131" s="113"/>
      <c r="W131" s="113"/>
      <c r="X131" s="113"/>
      <c r="Y131" s="113"/>
      <c r="Z131" s="113"/>
      <c r="AA131" s="113"/>
      <c r="AB131" s="113"/>
      <c r="AC131" s="113"/>
      <c r="AD131" s="113"/>
      <c r="AE131" s="113"/>
      <c r="AF131" s="113"/>
      <c r="AG131" s="113"/>
      <c r="AH131" s="113"/>
      <c r="AI131" s="113"/>
      <c r="AJ131" s="113"/>
      <c r="AK131" s="113"/>
      <c r="AL131" s="113"/>
      <c r="AM131" s="113"/>
      <c r="AN131" s="113"/>
      <c r="AO131" s="113"/>
      <c r="AP131" s="113"/>
      <c r="AQ131" s="113"/>
      <c r="AR131" s="113"/>
      <c r="AS131" s="113"/>
      <c r="AT131" s="113"/>
      <c r="AU131" s="113"/>
      <c r="AV131" s="113"/>
      <c r="AW131" s="113"/>
      <c r="AX131" s="113"/>
      <c r="AY131" s="113"/>
      <c r="AZ131" s="113"/>
      <c r="BA131" s="113"/>
      <c r="BB131" s="113"/>
      <c r="BC131" s="113"/>
      <c r="BD131" s="113"/>
      <c r="BE131" s="113"/>
      <c r="BF131" s="113"/>
      <c r="BG131" s="113"/>
      <c r="BH131" s="113"/>
      <c r="BI131" s="113"/>
      <c r="BJ131" s="113"/>
    </row>
    <row r="132" spans="1:62" x14ac:dyDescent="0.2">
      <c r="A132" s="113"/>
      <c r="B132" s="113"/>
      <c r="C132" s="114"/>
      <c r="D132" s="113"/>
      <c r="E132" s="113"/>
      <c r="F132" s="113"/>
      <c r="G132" s="113"/>
      <c r="H132" s="113"/>
      <c r="I132" s="113"/>
      <c r="J132" s="113"/>
      <c r="K132" s="113"/>
      <c r="L132" s="113"/>
      <c r="M132" s="113"/>
      <c r="N132" s="113"/>
      <c r="O132" s="113"/>
      <c r="P132" s="113"/>
      <c r="Q132" s="113"/>
      <c r="R132" s="113"/>
      <c r="S132" s="113"/>
      <c r="T132" s="113"/>
      <c r="U132" s="113"/>
      <c r="V132" s="113"/>
      <c r="W132" s="113"/>
      <c r="X132" s="113"/>
      <c r="Y132" s="113"/>
      <c r="Z132" s="113"/>
      <c r="AA132" s="113"/>
      <c r="AB132" s="113"/>
      <c r="AC132" s="113"/>
      <c r="AD132" s="113"/>
      <c r="AE132" s="113"/>
      <c r="AF132" s="113"/>
      <c r="AG132" s="113"/>
      <c r="AH132" s="113"/>
      <c r="AI132" s="113"/>
      <c r="AJ132" s="113"/>
      <c r="AK132" s="113"/>
      <c r="AL132" s="113"/>
      <c r="AM132" s="113"/>
      <c r="AN132" s="113"/>
      <c r="AO132" s="113"/>
      <c r="AP132" s="113"/>
      <c r="AQ132" s="113"/>
      <c r="AR132" s="113"/>
      <c r="AS132" s="113"/>
      <c r="AT132" s="113"/>
      <c r="AU132" s="113"/>
      <c r="AV132" s="113"/>
      <c r="AW132" s="113"/>
      <c r="AX132" s="113"/>
      <c r="AY132" s="113"/>
      <c r="AZ132" s="113"/>
      <c r="BA132" s="113"/>
      <c r="BB132" s="113"/>
      <c r="BC132" s="113"/>
      <c r="BD132" s="113"/>
      <c r="BE132" s="113"/>
      <c r="BF132" s="113"/>
      <c r="BG132" s="113"/>
      <c r="BH132" s="113"/>
      <c r="BI132" s="113"/>
      <c r="BJ132" s="113"/>
    </row>
    <row r="133" spans="1:62" x14ac:dyDescent="0.2">
      <c r="A133" s="113"/>
      <c r="B133" s="113"/>
      <c r="C133" s="114"/>
      <c r="D133" s="113"/>
      <c r="E133" s="113"/>
      <c r="F133" s="113"/>
      <c r="G133" s="113"/>
      <c r="H133" s="113"/>
      <c r="I133" s="113"/>
      <c r="J133" s="113"/>
      <c r="K133" s="113"/>
      <c r="L133" s="113"/>
      <c r="M133" s="113"/>
      <c r="N133" s="113"/>
      <c r="O133" s="113"/>
      <c r="P133" s="113"/>
      <c r="Q133" s="113"/>
      <c r="R133" s="113"/>
      <c r="S133" s="113"/>
      <c r="T133" s="113"/>
      <c r="U133" s="113"/>
      <c r="V133" s="113"/>
      <c r="W133" s="113"/>
      <c r="X133" s="113"/>
      <c r="Y133" s="113"/>
      <c r="Z133" s="113"/>
      <c r="AA133" s="113"/>
      <c r="AB133" s="113"/>
      <c r="AC133" s="113"/>
      <c r="AD133" s="113"/>
      <c r="AE133" s="113"/>
      <c r="AF133" s="113"/>
      <c r="AG133" s="113"/>
      <c r="AH133" s="113"/>
      <c r="AI133" s="113"/>
      <c r="AJ133" s="113"/>
      <c r="AK133" s="113"/>
      <c r="AL133" s="113"/>
      <c r="AM133" s="113"/>
      <c r="AN133" s="113"/>
      <c r="AO133" s="113"/>
      <c r="AP133" s="113"/>
      <c r="AQ133" s="113"/>
      <c r="AR133" s="113"/>
      <c r="AS133" s="113"/>
      <c r="AT133" s="113"/>
      <c r="AU133" s="113"/>
      <c r="AV133" s="113"/>
      <c r="AW133" s="113"/>
      <c r="AX133" s="113"/>
      <c r="AY133" s="113"/>
      <c r="AZ133" s="113"/>
      <c r="BA133" s="113"/>
      <c r="BB133" s="113"/>
      <c r="BC133" s="113"/>
      <c r="BD133" s="113"/>
      <c r="BE133" s="113"/>
      <c r="BF133" s="113"/>
      <c r="BG133" s="113"/>
      <c r="BH133" s="113"/>
      <c r="BI133" s="113"/>
      <c r="BJ133" s="113"/>
    </row>
    <row r="134" spans="1:62" x14ac:dyDescent="0.2">
      <c r="A134" s="113"/>
      <c r="B134" s="113"/>
      <c r="C134" s="114"/>
      <c r="D134" s="113"/>
      <c r="E134" s="113"/>
      <c r="F134" s="113"/>
      <c r="G134" s="113"/>
      <c r="H134" s="113"/>
      <c r="I134" s="113"/>
      <c r="J134" s="113"/>
      <c r="K134" s="113"/>
      <c r="L134" s="113"/>
      <c r="M134" s="113"/>
      <c r="N134" s="113"/>
      <c r="O134" s="113"/>
      <c r="P134" s="113"/>
      <c r="Q134" s="113"/>
      <c r="R134" s="113"/>
      <c r="S134" s="113"/>
      <c r="T134" s="113"/>
      <c r="U134" s="113"/>
      <c r="V134" s="113"/>
      <c r="W134" s="113"/>
      <c r="X134" s="113"/>
      <c r="Y134" s="113"/>
      <c r="Z134" s="113"/>
      <c r="AA134" s="113"/>
      <c r="AB134" s="113"/>
      <c r="AC134" s="113"/>
      <c r="AD134" s="113"/>
      <c r="AE134" s="113"/>
      <c r="AF134" s="113"/>
      <c r="AG134" s="113"/>
      <c r="AH134" s="113"/>
      <c r="AI134" s="113"/>
      <c r="AJ134" s="113"/>
      <c r="AK134" s="113"/>
      <c r="AL134" s="113"/>
      <c r="AM134" s="113"/>
      <c r="AN134" s="113"/>
      <c r="AO134" s="113"/>
      <c r="AP134" s="113"/>
      <c r="AQ134" s="113"/>
      <c r="AR134" s="113"/>
      <c r="AS134" s="113"/>
      <c r="AT134" s="113"/>
      <c r="AU134" s="113"/>
      <c r="AV134" s="113"/>
      <c r="AW134" s="113"/>
      <c r="AX134" s="113"/>
      <c r="AY134" s="113"/>
      <c r="AZ134" s="113"/>
      <c r="BA134" s="113"/>
      <c r="BB134" s="113"/>
      <c r="BC134" s="113"/>
      <c r="BD134" s="113"/>
      <c r="BE134" s="113"/>
      <c r="BF134" s="113"/>
      <c r="BG134" s="113"/>
      <c r="BH134" s="113"/>
      <c r="BI134" s="113"/>
      <c r="BJ134" s="113"/>
    </row>
    <row r="135" spans="1:62" x14ac:dyDescent="0.2">
      <c r="A135" s="113"/>
      <c r="B135" s="113"/>
      <c r="C135" s="114"/>
      <c r="D135" s="113"/>
      <c r="E135" s="113"/>
      <c r="F135" s="113"/>
      <c r="G135" s="113"/>
      <c r="H135" s="113"/>
      <c r="I135" s="113"/>
      <c r="J135" s="113"/>
      <c r="K135" s="113"/>
      <c r="L135" s="113"/>
      <c r="M135" s="113"/>
      <c r="N135" s="113"/>
      <c r="O135" s="113"/>
      <c r="P135" s="113"/>
      <c r="Q135" s="113"/>
      <c r="R135" s="113"/>
      <c r="S135" s="113"/>
      <c r="T135" s="113"/>
      <c r="U135" s="113"/>
      <c r="V135" s="113"/>
      <c r="W135" s="113"/>
      <c r="X135" s="113"/>
      <c r="Y135" s="113"/>
      <c r="Z135" s="113"/>
      <c r="AA135" s="113"/>
      <c r="AB135" s="113"/>
      <c r="AC135" s="113"/>
      <c r="AD135" s="113"/>
      <c r="AE135" s="113"/>
      <c r="AF135" s="113"/>
      <c r="AG135" s="113"/>
      <c r="AH135" s="113"/>
      <c r="AI135" s="113"/>
      <c r="AJ135" s="113"/>
      <c r="AK135" s="113"/>
      <c r="AL135" s="113"/>
      <c r="AM135" s="113"/>
      <c r="AN135" s="113"/>
      <c r="AO135" s="113"/>
      <c r="AP135" s="113"/>
      <c r="AQ135" s="113"/>
      <c r="AR135" s="113"/>
      <c r="AS135" s="113"/>
      <c r="AT135" s="113"/>
      <c r="AU135" s="113"/>
      <c r="AV135" s="113"/>
      <c r="AW135" s="113"/>
      <c r="AX135" s="113"/>
      <c r="AY135" s="113"/>
      <c r="AZ135" s="113"/>
      <c r="BA135" s="113"/>
      <c r="BB135" s="113"/>
      <c r="BC135" s="113"/>
      <c r="BD135" s="113"/>
      <c r="BE135" s="113"/>
      <c r="BF135" s="113"/>
      <c r="BG135" s="113"/>
      <c r="BH135" s="113"/>
      <c r="BI135" s="113"/>
      <c r="BJ135" s="113"/>
    </row>
    <row r="136" spans="1:62" x14ac:dyDescent="0.2">
      <c r="A136" s="113"/>
      <c r="B136" s="113"/>
      <c r="C136" s="114"/>
      <c r="D136" s="113"/>
      <c r="E136" s="113"/>
      <c r="F136" s="113"/>
      <c r="G136" s="113"/>
      <c r="H136" s="113"/>
      <c r="I136" s="113"/>
      <c r="J136" s="113"/>
      <c r="K136" s="113"/>
      <c r="L136" s="113"/>
      <c r="M136" s="113"/>
      <c r="N136" s="113"/>
      <c r="O136" s="113"/>
      <c r="P136" s="113"/>
      <c r="Q136" s="113"/>
      <c r="R136" s="113"/>
      <c r="S136" s="113"/>
      <c r="T136" s="113"/>
      <c r="U136" s="113"/>
      <c r="V136" s="113"/>
      <c r="W136" s="113"/>
      <c r="X136" s="113"/>
      <c r="Y136" s="113"/>
      <c r="Z136" s="113"/>
      <c r="AA136" s="113"/>
      <c r="AB136" s="113"/>
      <c r="AC136" s="113"/>
      <c r="AD136" s="113"/>
      <c r="AE136" s="113"/>
      <c r="AF136" s="113"/>
      <c r="AG136" s="113"/>
      <c r="AH136" s="113"/>
      <c r="AI136" s="113"/>
      <c r="AJ136" s="113"/>
      <c r="AK136" s="113"/>
      <c r="AL136" s="113"/>
      <c r="AM136" s="113"/>
      <c r="AN136" s="113"/>
      <c r="AO136" s="113"/>
      <c r="AP136" s="113"/>
      <c r="AQ136" s="113"/>
      <c r="AR136" s="113"/>
      <c r="AS136" s="113"/>
      <c r="AT136" s="113"/>
      <c r="AU136" s="113"/>
      <c r="AV136" s="113"/>
      <c r="AW136" s="113"/>
      <c r="AX136" s="113"/>
      <c r="AY136" s="113"/>
      <c r="AZ136" s="113"/>
      <c r="BA136" s="113"/>
      <c r="BB136" s="113"/>
      <c r="BC136" s="113"/>
      <c r="BD136" s="113"/>
      <c r="BE136" s="113"/>
      <c r="BF136" s="113"/>
      <c r="BG136" s="113"/>
      <c r="BH136" s="113"/>
      <c r="BI136" s="113"/>
      <c r="BJ136" s="113"/>
    </row>
    <row r="137" spans="1:62" x14ac:dyDescent="0.2">
      <c r="A137" s="113"/>
      <c r="B137" s="113"/>
      <c r="C137" s="114"/>
      <c r="D137" s="113"/>
      <c r="E137" s="113"/>
      <c r="F137" s="113"/>
      <c r="G137" s="113"/>
      <c r="H137" s="113"/>
      <c r="I137" s="113"/>
      <c r="J137" s="113"/>
      <c r="K137" s="113"/>
      <c r="L137" s="113"/>
      <c r="M137" s="113"/>
      <c r="N137" s="113"/>
      <c r="O137" s="113"/>
      <c r="P137" s="113"/>
      <c r="Q137" s="113"/>
      <c r="R137" s="113"/>
      <c r="S137" s="113"/>
      <c r="T137" s="113"/>
      <c r="U137" s="113"/>
      <c r="V137" s="113"/>
      <c r="W137" s="113"/>
      <c r="X137" s="113"/>
      <c r="Y137" s="113"/>
      <c r="Z137" s="113"/>
      <c r="AA137" s="113"/>
      <c r="AB137" s="113"/>
      <c r="AC137" s="113"/>
      <c r="AD137" s="113"/>
      <c r="AE137" s="113"/>
      <c r="AF137" s="113"/>
      <c r="AG137" s="113"/>
      <c r="AH137" s="113"/>
      <c r="AI137" s="113"/>
      <c r="AJ137" s="113"/>
      <c r="AK137" s="113"/>
      <c r="AL137" s="113"/>
      <c r="AM137" s="113"/>
      <c r="AN137" s="113"/>
      <c r="AO137" s="113"/>
      <c r="AP137" s="113"/>
      <c r="AQ137" s="113"/>
      <c r="AR137" s="113"/>
      <c r="AS137" s="113"/>
      <c r="AT137" s="113"/>
      <c r="AU137" s="113"/>
      <c r="AV137" s="113"/>
      <c r="AW137" s="113"/>
      <c r="AX137" s="113"/>
      <c r="AY137" s="113"/>
      <c r="AZ137" s="113"/>
      <c r="BA137" s="113"/>
      <c r="BB137" s="113"/>
      <c r="BC137" s="113"/>
      <c r="BD137" s="113"/>
      <c r="BE137" s="113"/>
      <c r="BF137" s="113"/>
      <c r="BG137" s="113"/>
      <c r="BH137" s="113"/>
      <c r="BI137" s="113"/>
      <c r="BJ137" s="113"/>
    </row>
    <row r="138" spans="1:62" x14ac:dyDescent="0.2">
      <c r="A138" s="113"/>
      <c r="B138" s="113"/>
      <c r="C138" s="114"/>
      <c r="D138" s="113"/>
      <c r="E138" s="113"/>
      <c r="F138" s="113"/>
      <c r="G138" s="113"/>
      <c r="H138" s="113"/>
      <c r="I138" s="113"/>
      <c r="J138" s="113"/>
      <c r="K138" s="113"/>
      <c r="L138" s="113"/>
      <c r="M138" s="113"/>
      <c r="N138" s="113"/>
      <c r="O138" s="113"/>
      <c r="P138" s="113"/>
      <c r="Q138" s="113"/>
      <c r="R138" s="113"/>
      <c r="S138" s="113"/>
      <c r="T138" s="113"/>
      <c r="U138" s="113"/>
      <c r="V138" s="113"/>
      <c r="W138" s="113"/>
      <c r="X138" s="113"/>
      <c r="Y138" s="113"/>
      <c r="Z138" s="113"/>
      <c r="AA138" s="113"/>
      <c r="AB138" s="113"/>
      <c r="AC138" s="113"/>
      <c r="AD138" s="113"/>
      <c r="AE138" s="113"/>
      <c r="AF138" s="113"/>
      <c r="AG138" s="113"/>
      <c r="AH138" s="113"/>
      <c r="AI138" s="113"/>
      <c r="AJ138" s="113"/>
      <c r="AK138" s="113"/>
      <c r="AL138" s="113"/>
      <c r="AM138" s="113"/>
      <c r="AN138" s="113"/>
      <c r="AO138" s="113"/>
      <c r="AP138" s="113"/>
      <c r="AQ138" s="113"/>
      <c r="AR138" s="113"/>
      <c r="AS138" s="113"/>
      <c r="AT138" s="113"/>
      <c r="AU138" s="113"/>
      <c r="AV138" s="113"/>
      <c r="AW138" s="113"/>
      <c r="AX138" s="113"/>
      <c r="AY138" s="113"/>
      <c r="AZ138" s="113"/>
      <c r="BA138" s="113"/>
      <c r="BB138" s="113"/>
      <c r="BC138" s="113"/>
      <c r="BD138" s="113"/>
      <c r="BE138" s="113"/>
      <c r="BF138" s="113"/>
      <c r="BG138" s="113"/>
      <c r="BH138" s="113"/>
      <c r="BI138" s="113"/>
      <c r="BJ138" s="113"/>
    </row>
    <row r="139" spans="1:62" x14ac:dyDescent="0.2">
      <c r="A139" s="113"/>
      <c r="B139" s="113"/>
      <c r="C139" s="114"/>
      <c r="D139" s="113"/>
      <c r="E139" s="113"/>
      <c r="F139" s="113"/>
      <c r="G139" s="113"/>
      <c r="H139" s="113"/>
      <c r="I139" s="113"/>
      <c r="J139" s="113"/>
      <c r="K139" s="113"/>
      <c r="L139" s="113"/>
      <c r="M139" s="113"/>
      <c r="N139" s="113"/>
      <c r="O139" s="113"/>
      <c r="P139" s="113"/>
      <c r="Q139" s="113"/>
      <c r="R139" s="113"/>
      <c r="S139" s="113"/>
      <c r="T139" s="113"/>
      <c r="U139" s="113"/>
      <c r="V139" s="113"/>
      <c r="W139" s="113"/>
      <c r="X139" s="113"/>
      <c r="Y139" s="113"/>
      <c r="Z139" s="113"/>
      <c r="AA139" s="113"/>
      <c r="AB139" s="113"/>
      <c r="AC139" s="113"/>
      <c r="AD139" s="113"/>
      <c r="AE139" s="113"/>
      <c r="AF139" s="113"/>
      <c r="AG139" s="113"/>
      <c r="AH139" s="113"/>
      <c r="AI139" s="113"/>
      <c r="AJ139" s="113"/>
      <c r="AK139" s="113"/>
      <c r="AL139" s="113"/>
      <c r="AM139" s="113"/>
      <c r="AN139" s="113"/>
      <c r="AO139" s="113"/>
      <c r="AP139" s="113"/>
      <c r="AQ139" s="113"/>
      <c r="AR139" s="113"/>
      <c r="AS139" s="113"/>
      <c r="AT139" s="113"/>
      <c r="AU139" s="113"/>
      <c r="AV139" s="113"/>
      <c r="AW139" s="113"/>
      <c r="AX139" s="113"/>
      <c r="AY139" s="113"/>
      <c r="AZ139" s="113"/>
      <c r="BA139" s="113"/>
      <c r="BB139" s="113"/>
      <c r="BC139" s="113"/>
      <c r="BD139" s="113"/>
      <c r="BE139" s="113"/>
      <c r="BF139" s="113"/>
      <c r="BG139" s="113"/>
      <c r="BH139" s="113"/>
      <c r="BI139" s="113"/>
      <c r="BJ139" s="113"/>
    </row>
    <row r="140" spans="1:62" x14ac:dyDescent="0.2">
      <c r="A140" s="113"/>
      <c r="B140" s="113"/>
      <c r="C140" s="114"/>
      <c r="D140" s="113"/>
      <c r="E140" s="113"/>
      <c r="F140" s="113"/>
      <c r="G140" s="113"/>
      <c r="H140" s="113"/>
      <c r="I140" s="113"/>
      <c r="J140" s="113"/>
      <c r="K140" s="113"/>
      <c r="L140" s="113"/>
      <c r="M140" s="113"/>
      <c r="N140" s="113"/>
      <c r="O140" s="113"/>
      <c r="P140" s="113"/>
      <c r="Q140" s="113"/>
      <c r="R140" s="113"/>
      <c r="S140" s="113"/>
      <c r="T140" s="113"/>
      <c r="U140" s="113"/>
      <c r="V140" s="113"/>
      <c r="W140" s="113"/>
      <c r="X140" s="113"/>
      <c r="Y140" s="113"/>
      <c r="Z140" s="113"/>
      <c r="AA140" s="113"/>
      <c r="AB140" s="113"/>
      <c r="AC140" s="113"/>
      <c r="AD140" s="113"/>
      <c r="AE140" s="113"/>
      <c r="AF140" s="113"/>
      <c r="AG140" s="113"/>
      <c r="AH140" s="113"/>
      <c r="AI140" s="113"/>
      <c r="AJ140" s="113"/>
      <c r="AK140" s="113"/>
      <c r="AL140" s="113"/>
      <c r="AM140" s="113"/>
      <c r="AN140" s="113"/>
      <c r="AO140" s="113"/>
      <c r="AP140" s="113"/>
      <c r="AQ140" s="113"/>
      <c r="AR140" s="113"/>
      <c r="AS140" s="113"/>
      <c r="AT140" s="113"/>
      <c r="AU140" s="113"/>
      <c r="AV140" s="113"/>
      <c r="AW140" s="113"/>
      <c r="AX140" s="113"/>
      <c r="AY140" s="113"/>
      <c r="AZ140" s="113"/>
      <c r="BA140" s="113"/>
      <c r="BB140" s="113"/>
      <c r="BC140" s="113"/>
      <c r="BD140" s="113"/>
      <c r="BE140" s="113"/>
      <c r="BF140" s="113"/>
      <c r="BG140" s="113"/>
      <c r="BH140" s="113"/>
      <c r="BI140" s="113"/>
      <c r="BJ140" s="113"/>
    </row>
    <row r="141" spans="1:62" x14ac:dyDescent="0.2">
      <c r="A141" s="113"/>
      <c r="B141" s="113"/>
      <c r="C141" s="114"/>
      <c r="D141" s="113"/>
      <c r="E141" s="113"/>
      <c r="F141" s="113"/>
      <c r="G141" s="113"/>
      <c r="H141" s="113"/>
      <c r="I141" s="113"/>
      <c r="J141" s="113"/>
      <c r="K141" s="113"/>
      <c r="L141" s="113"/>
      <c r="M141" s="113"/>
      <c r="N141" s="113"/>
      <c r="O141" s="113"/>
      <c r="P141" s="113"/>
      <c r="Q141" s="113"/>
      <c r="R141" s="113"/>
      <c r="S141" s="113"/>
      <c r="T141" s="113"/>
      <c r="U141" s="113"/>
      <c r="V141" s="113"/>
      <c r="W141" s="113"/>
      <c r="X141" s="113"/>
      <c r="Y141" s="113"/>
      <c r="Z141" s="113"/>
      <c r="AA141" s="113"/>
      <c r="AB141" s="113"/>
      <c r="AC141" s="113"/>
      <c r="AD141" s="113"/>
      <c r="AE141" s="113"/>
      <c r="AF141" s="113"/>
      <c r="AG141" s="113"/>
      <c r="AH141" s="113"/>
      <c r="AI141" s="113"/>
      <c r="AJ141" s="113"/>
      <c r="AK141" s="113"/>
      <c r="AL141" s="113"/>
      <c r="AM141" s="113"/>
      <c r="AN141" s="113"/>
      <c r="AO141" s="113"/>
      <c r="AP141" s="113"/>
      <c r="AQ141" s="113"/>
      <c r="AR141" s="113"/>
      <c r="AS141" s="113"/>
      <c r="AT141" s="113"/>
      <c r="AU141" s="113"/>
      <c r="AV141" s="113"/>
      <c r="AW141" s="113"/>
      <c r="AX141" s="113"/>
      <c r="AY141" s="113"/>
      <c r="AZ141" s="113"/>
      <c r="BA141" s="113"/>
      <c r="BB141" s="113"/>
      <c r="BC141" s="113"/>
      <c r="BD141" s="113"/>
      <c r="BE141" s="113"/>
      <c r="BF141" s="113"/>
      <c r="BG141" s="113"/>
      <c r="BH141" s="113"/>
      <c r="BI141" s="113"/>
      <c r="BJ141" s="113"/>
    </row>
    <row r="142" spans="1:62" x14ac:dyDescent="0.2">
      <c r="A142" s="113"/>
      <c r="B142" s="113"/>
      <c r="C142" s="114"/>
      <c r="D142" s="113"/>
      <c r="E142" s="113"/>
      <c r="F142" s="113"/>
      <c r="G142" s="113"/>
      <c r="H142" s="113"/>
      <c r="I142" s="113"/>
      <c r="J142" s="113"/>
      <c r="K142" s="113"/>
      <c r="L142" s="113"/>
      <c r="M142" s="113"/>
      <c r="N142" s="113"/>
      <c r="O142" s="113"/>
      <c r="P142" s="113"/>
      <c r="Q142" s="113"/>
      <c r="R142" s="113"/>
      <c r="S142" s="113"/>
      <c r="T142" s="113"/>
      <c r="U142" s="113"/>
      <c r="V142" s="113"/>
      <c r="W142" s="113"/>
      <c r="X142" s="113"/>
      <c r="Y142" s="113"/>
      <c r="Z142" s="113"/>
      <c r="AA142" s="113"/>
      <c r="AB142" s="113"/>
      <c r="AC142" s="113"/>
      <c r="AD142" s="113"/>
      <c r="AE142" s="113"/>
      <c r="AF142" s="113"/>
      <c r="AG142" s="113"/>
      <c r="AH142" s="113"/>
      <c r="AI142" s="113"/>
      <c r="AJ142" s="113"/>
      <c r="AK142" s="113"/>
      <c r="AL142" s="113"/>
      <c r="AM142" s="113"/>
      <c r="AN142" s="113"/>
      <c r="AO142" s="113"/>
      <c r="AP142" s="113"/>
      <c r="AQ142" s="113"/>
      <c r="AR142" s="113"/>
      <c r="AS142" s="113"/>
      <c r="AT142" s="113"/>
      <c r="AU142" s="113"/>
      <c r="AV142" s="113"/>
      <c r="AW142" s="113"/>
      <c r="AX142" s="113"/>
      <c r="AY142" s="113"/>
      <c r="AZ142" s="113"/>
      <c r="BA142" s="113"/>
      <c r="BB142" s="113"/>
      <c r="BC142" s="113"/>
      <c r="BD142" s="113"/>
      <c r="BE142" s="113"/>
      <c r="BF142" s="113"/>
      <c r="BG142" s="113"/>
      <c r="BH142" s="113"/>
      <c r="BI142" s="113"/>
      <c r="BJ142" s="113"/>
    </row>
    <row r="143" spans="1:62" x14ac:dyDescent="0.2">
      <c r="A143" s="113"/>
      <c r="B143" s="113"/>
      <c r="C143" s="114"/>
      <c r="D143" s="113"/>
      <c r="E143" s="113"/>
      <c r="F143" s="113"/>
      <c r="G143" s="113"/>
      <c r="H143" s="113"/>
      <c r="I143" s="113"/>
      <c r="J143" s="113"/>
      <c r="K143" s="113"/>
      <c r="L143" s="113"/>
      <c r="M143" s="113"/>
      <c r="N143" s="113"/>
      <c r="O143" s="113"/>
      <c r="P143" s="113"/>
      <c r="Q143" s="113"/>
      <c r="R143" s="113"/>
      <c r="S143" s="113"/>
      <c r="T143" s="113"/>
      <c r="U143" s="113"/>
      <c r="V143" s="113"/>
      <c r="W143" s="113"/>
      <c r="X143" s="113"/>
      <c r="Y143" s="113"/>
      <c r="Z143" s="113"/>
      <c r="AA143" s="113"/>
      <c r="AB143" s="113"/>
      <c r="AC143" s="113"/>
      <c r="AD143" s="113"/>
      <c r="AE143" s="113"/>
      <c r="AF143" s="113"/>
      <c r="AG143" s="113"/>
      <c r="AH143" s="113"/>
      <c r="AI143" s="113"/>
      <c r="AJ143" s="113"/>
      <c r="AK143" s="113"/>
      <c r="AL143" s="113"/>
      <c r="AM143" s="113"/>
      <c r="AN143" s="113"/>
      <c r="AO143" s="113"/>
      <c r="AP143" s="113"/>
      <c r="AQ143" s="113"/>
      <c r="AR143" s="113"/>
      <c r="AS143" s="113"/>
      <c r="AT143" s="113"/>
      <c r="AU143" s="113"/>
      <c r="AV143" s="113"/>
      <c r="AW143" s="113"/>
      <c r="AX143" s="113"/>
      <c r="AY143" s="113"/>
      <c r="AZ143" s="113"/>
      <c r="BA143" s="113"/>
      <c r="BB143" s="113"/>
      <c r="BC143" s="113"/>
      <c r="BD143" s="113"/>
      <c r="BE143" s="113"/>
      <c r="BF143" s="113"/>
      <c r="BG143" s="113"/>
      <c r="BH143" s="113"/>
      <c r="BI143" s="113"/>
      <c r="BJ143" s="113"/>
    </row>
    <row r="144" spans="1:62" x14ac:dyDescent="0.2">
      <c r="A144" s="113"/>
      <c r="B144" s="113"/>
      <c r="C144" s="114"/>
      <c r="D144" s="113"/>
      <c r="E144" s="113"/>
      <c r="F144" s="113"/>
      <c r="G144" s="113"/>
      <c r="H144" s="113"/>
      <c r="I144" s="113"/>
      <c r="J144" s="113"/>
      <c r="K144" s="113"/>
      <c r="L144" s="113"/>
      <c r="M144" s="113"/>
      <c r="N144" s="113"/>
      <c r="O144" s="113"/>
      <c r="P144" s="113"/>
      <c r="Q144" s="113"/>
      <c r="R144" s="113"/>
      <c r="S144" s="113"/>
      <c r="T144" s="113"/>
      <c r="U144" s="113"/>
      <c r="V144" s="113"/>
      <c r="W144" s="113"/>
      <c r="X144" s="113"/>
      <c r="Y144" s="113"/>
      <c r="Z144" s="113"/>
      <c r="AA144" s="113"/>
      <c r="AB144" s="113"/>
      <c r="AC144" s="113"/>
      <c r="AD144" s="113"/>
      <c r="AE144" s="113"/>
      <c r="AF144" s="113"/>
      <c r="AG144" s="113"/>
      <c r="AH144" s="113"/>
      <c r="AI144" s="113"/>
      <c r="AJ144" s="113"/>
      <c r="AK144" s="113"/>
      <c r="AL144" s="113"/>
      <c r="AM144" s="113"/>
      <c r="AN144" s="113"/>
      <c r="AO144" s="113"/>
      <c r="AP144" s="113"/>
      <c r="AQ144" s="113"/>
      <c r="AR144" s="113"/>
      <c r="AS144" s="113"/>
      <c r="AT144" s="113"/>
      <c r="AU144" s="113"/>
      <c r="AV144" s="113"/>
      <c r="AW144" s="113"/>
      <c r="AX144" s="113"/>
      <c r="AY144" s="113"/>
      <c r="AZ144" s="113"/>
      <c r="BA144" s="113"/>
      <c r="BB144" s="113"/>
      <c r="BC144" s="113"/>
      <c r="BD144" s="113"/>
      <c r="BE144" s="113"/>
      <c r="BF144" s="113"/>
      <c r="BG144" s="113"/>
      <c r="BH144" s="113"/>
      <c r="BI144" s="113"/>
      <c r="BJ144" s="113"/>
    </row>
    <row r="145" spans="1:62" x14ac:dyDescent="0.2">
      <c r="A145" s="113"/>
      <c r="B145" s="113"/>
      <c r="C145" s="114"/>
      <c r="D145" s="113"/>
      <c r="E145" s="113"/>
      <c r="F145" s="113"/>
      <c r="G145" s="113"/>
      <c r="H145" s="113"/>
      <c r="I145" s="113"/>
      <c r="J145" s="113"/>
      <c r="K145" s="113"/>
      <c r="L145" s="113"/>
      <c r="M145" s="113"/>
      <c r="N145" s="113"/>
      <c r="O145" s="113"/>
      <c r="P145" s="113"/>
      <c r="Q145" s="113"/>
      <c r="R145" s="113"/>
      <c r="S145" s="113"/>
      <c r="T145" s="113"/>
      <c r="U145" s="113"/>
      <c r="V145" s="113"/>
      <c r="W145" s="113"/>
      <c r="X145" s="113"/>
      <c r="Y145" s="113"/>
      <c r="Z145" s="113"/>
      <c r="AA145" s="113"/>
      <c r="AB145" s="113"/>
      <c r="AC145" s="113"/>
      <c r="AD145" s="113"/>
      <c r="AE145" s="113"/>
      <c r="AF145" s="113"/>
      <c r="AG145" s="113"/>
      <c r="AH145" s="113"/>
      <c r="AI145" s="113"/>
      <c r="AJ145" s="113"/>
      <c r="AK145" s="113"/>
      <c r="AL145" s="113"/>
      <c r="AM145" s="113"/>
      <c r="AN145" s="113"/>
      <c r="AO145" s="113"/>
      <c r="AP145" s="113"/>
      <c r="AQ145" s="113"/>
      <c r="AR145" s="113"/>
      <c r="AS145" s="113"/>
      <c r="AT145" s="113"/>
      <c r="AU145" s="113"/>
      <c r="AV145" s="113"/>
      <c r="AW145" s="113"/>
      <c r="AX145" s="113"/>
      <c r="AY145" s="113"/>
      <c r="AZ145" s="113"/>
      <c r="BA145" s="113"/>
      <c r="BB145" s="113"/>
      <c r="BC145" s="113"/>
      <c r="BD145" s="113"/>
      <c r="BE145" s="113"/>
      <c r="BF145" s="113"/>
      <c r="BG145" s="113"/>
      <c r="BH145" s="113"/>
      <c r="BI145" s="113"/>
      <c r="BJ145" s="113"/>
    </row>
    <row r="146" spans="1:62" x14ac:dyDescent="0.2">
      <c r="A146" s="113"/>
      <c r="B146" s="113"/>
      <c r="C146" s="114"/>
      <c r="D146" s="113"/>
      <c r="E146" s="113"/>
      <c r="F146" s="113"/>
      <c r="G146" s="113"/>
      <c r="H146" s="113"/>
      <c r="I146" s="113"/>
      <c r="J146" s="113"/>
      <c r="K146" s="113"/>
      <c r="L146" s="113"/>
      <c r="M146" s="113"/>
      <c r="N146" s="113"/>
      <c r="O146" s="113"/>
      <c r="P146" s="113"/>
      <c r="Q146" s="113"/>
      <c r="R146" s="113"/>
      <c r="S146" s="113"/>
      <c r="T146" s="113"/>
      <c r="U146" s="113"/>
      <c r="V146" s="113"/>
      <c r="W146" s="113"/>
      <c r="X146" s="113"/>
      <c r="Y146" s="113"/>
      <c r="Z146" s="113"/>
      <c r="AA146" s="113"/>
      <c r="AB146" s="113"/>
      <c r="AC146" s="113"/>
      <c r="AD146" s="113"/>
      <c r="AE146" s="113"/>
      <c r="AF146" s="113"/>
      <c r="AG146" s="113"/>
      <c r="AH146" s="113"/>
      <c r="AI146" s="113"/>
      <c r="AJ146" s="113"/>
      <c r="AK146" s="113"/>
      <c r="AL146" s="113"/>
      <c r="AM146" s="113"/>
      <c r="AN146" s="113"/>
      <c r="AO146" s="113"/>
      <c r="AP146" s="113"/>
      <c r="AQ146" s="113"/>
      <c r="AR146" s="113"/>
      <c r="AS146" s="113"/>
      <c r="AT146" s="113"/>
      <c r="AU146" s="113"/>
      <c r="AV146" s="113"/>
      <c r="AW146" s="113"/>
      <c r="AX146" s="113"/>
      <c r="AY146" s="113"/>
      <c r="AZ146" s="113"/>
      <c r="BA146" s="113"/>
      <c r="BB146" s="113"/>
      <c r="BC146" s="113"/>
      <c r="BD146" s="113"/>
      <c r="BE146" s="113"/>
      <c r="BF146" s="113"/>
      <c r="BG146" s="113"/>
      <c r="BH146" s="113"/>
      <c r="BI146" s="113"/>
      <c r="BJ146" s="113"/>
    </row>
    <row r="147" spans="1:62" x14ac:dyDescent="0.2">
      <c r="A147" s="113"/>
      <c r="B147" s="113"/>
      <c r="C147" s="114"/>
      <c r="D147" s="113"/>
      <c r="E147" s="113"/>
      <c r="F147" s="113"/>
      <c r="G147" s="113"/>
      <c r="H147" s="113"/>
      <c r="I147" s="113"/>
      <c r="J147" s="113"/>
      <c r="K147" s="113"/>
      <c r="L147" s="113"/>
      <c r="M147" s="113"/>
      <c r="N147" s="113"/>
      <c r="O147" s="113"/>
      <c r="P147" s="113"/>
      <c r="Q147" s="113"/>
      <c r="R147" s="113"/>
      <c r="S147" s="113"/>
      <c r="T147" s="113"/>
      <c r="U147" s="113"/>
      <c r="V147" s="113"/>
      <c r="W147" s="113"/>
      <c r="X147" s="113"/>
      <c r="Y147" s="113"/>
      <c r="Z147" s="113"/>
      <c r="AA147" s="113"/>
      <c r="AB147" s="113"/>
      <c r="AC147" s="113"/>
      <c r="AD147" s="113"/>
      <c r="AE147" s="113"/>
      <c r="AF147" s="113"/>
      <c r="AG147" s="113"/>
      <c r="AH147" s="113"/>
      <c r="AI147" s="113"/>
      <c r="AJ147" s="113"/>
      <c r="AK147" s="113"/>
      <c r="AL147" s="113"/>
      <c r="AM147" s="113"/>
      <c r="AN147" s="113"/>
      <c r="AO147" s="113"/>
      <c r="AP147" s="113"/>
      <c r="AQ147" s="113"/>
      <c r="AR147" s="113"/>
      <c r="AS147" s="113"/>
      <c r="AT147" s="113"/>
      <c r="AU147" s="113"/>
      <c r="AV147" s="113"/>
      <c r="AW147" s="113"/>
      <c r="AX147" s="113"/>
      <c r="AY147" s="113"/>
      <c r="AZ147" s="113"/>
      <c r="BA147" s="113"/>
      <c r="BB147" s="113"/>
      <c r="BC147" s="113"/>
      <c r="BD147" s="113"/>
      <c r="BE147" s="113"/>
      <c r="BF147" s="113"/>
      <c r="BG147" s="113"/>
      <c r="BH147" s="113"/>
      <c r="BI147" s="113"/>
      <c r="BJ147" s="113"/>
    </row>
    <row r="148" spans="1:62" x14ac:dyDescent="0.2">
      <c r="A148" s="113"/>
      <c r="B148" s="113"/>
      <c r="C148" s="114"/>
      <c r="D148" s="113"/>
      <c r="E148" s="113"/>
      <c r="F148" s="113"/>
      <c r="G148" s="113"/>
      <c r="H148" s="113"/>
      <c r="I148" s="113"/>
      <c r="J148" s="113"/>
      <c r="K148" s="113"/>
      <c r="L148" s="113"/>
      <c r="M148" s="113"/>
      <c r="N148" s="113"/>
      <c r="O148" s="113"/>
      <c r="P148" s="113"/>
      <c r="Q148" s="113"/>
      <c r="R148" s="113"/>
      <c r="S148" s="113"/>
      <c r="T148" s="113"/>
      <c r="U148" s="113"/>
      <c r="V148" s="113"/>
      <c r="W148" s="113"/>
      <c r="X148" s="113"/>
      <c r="Y148" s="113"/>
      <c r="Z148" s="113"/>
      <c r="AA148" s="113"/>
      <c r="AB148" s="113"/>
      <c r="AC148" s="113"/>
      <c r="AD148" s="113"/>
      <c r="AE148" s="113"/>
      <c r="AF148" s="113"/>
      <c r="AG148" s="113"/>
      <c r="AH148" s="113"/>
      <c r="AI148" s="113"/>
      <c r="AJ148" s="113"/>
      <c r="AK148" s="113"/>
      <c r="AL148" s="113"/>
      <c r="AM148" s="113"/>
      <c r="AN148" s="113"/>
      <c r="AO148" s="113"/>
      <c r="AP148" s="113"/>
      <c r="AQ148" s="113"/>
      <c r="AR148" s="113"/>
      <c r="AS148" s="113"/>
      <c r="AT148" s="113"/>
      <c r="AU148" s="113"/>
      <c r="AV148" s="113"/>
      <c r="AW148" s="113"/>
      <c r="AX148" s="113"/>
      <c r="AY148" s="113"/>
      <c r="AZ148" s="113"/>
      <c r="BA148" s="113"/>
      <c r="BB148" s="113"/>
      <c r="BC148" s="113"/>
      <c r="BD148" s="113"/>
      <c r="BE148" s="113"/>
      <c r="BF148" s="113"/>
      <c r="BG148" s="113"/>
      <c r="BH148" s="113"/>
      <c r="BI148" s="113"/>
      <c r="BJ148" s="113"/>
    </row>
    <row r="149" spans="1:62" x14ac:dyDescent="0.2">
      <c r="A149" s="113"/>
      <c r="B149" s="113"/>
      <c r="C149" s="114"/>
      <c r="D149" s="113"/>
      <c r="E149" s="113"/>
      <c r="F149" s="113"/>
      <c r="G149" s="113"/>
      <c r="H149" s="113"/>
      <c r="I149" s="113"/>
      <c r="J149" s="113"/>
      <c r="K149" s="113"/>
      <c r="L149" s="113"/>
      <c r="M149" s="113"/>
      <c r="N149" s="113"/>
      <c r="O149" s="113"/>
      <c r="P149" s="113"/>
      <c r="Q149" s="113"/>
      <c r="R149" s="113"/>
      <c r="S149" s="113"/>
      <c r="T149" s="113"/>
      <c r="U149" s="113"/>
      <c r="V149" s="113"/>
      <c r="W149" s="113"/>
      <c r="X149" s="113"/>
      <c r="Y149" s="113"/>
      <c r="Z149" s="113"/>
      <c r="AA149" s="113"/>
      <c r="AB149" s="113"/>
      <c r="AC149" s="113"/>
      <c r="AD149" s="113"/>
      <c r="AE149" s="113"/>
      <c r="AF149" s="113"/>
      <c r="AG149" s="113"/>
      <c r="AH149" s="113"/>
      <c r="AI149" s="113"/>
      <c r="AJ149" s="113"/>
      <c r="AK149" s="113"/>
      <c r="AL149" s="113"/>
      <c r="AM149" s="113"/>
      <c r="AN149" s="113"/>
      <c r="AO149" s="113"/>
      <c r="AP149" s="113"/>
      <c r="AQ149" s="113"/>
      <c r="AR149" s="113"/>
      <c r="AS149" s="113"/>
      <c r="AT149" s="113"/>
      <c r="AU149" s="113"/>
      <c r="AV149" s="113"/>
      <c r="AW149" s="113"/>
      <c r="AX149" s="113"/>
      <c r="AY149" s="113"/>
      <c r="AZ149" s="113"/>
      <c r="BA149" s="113"/>
      <c r="BB149" s="113"/>
      <c r="BC149" s="113"/>
      <c r="BD149" s="113"/>
      <c r="BE149" s="113"/>
      <c r="BF149" s="113"/>
      <c r="BG149" s="113"/>
      <c r="BH149" s="113"/>
      <c r="BI149" s="113"/>
      <c r="BJ149" s="113"/>
    </row>
    <row r="150" spans="1:62" x14ac:dyDescent="0.2">
      <c r="A150" s="113"/>
      <c r="B150" s="113"/>
      <c r="C150" s="114"/>
      <c r="D150" s="113"/>
      <c r="E150" s="113"/>
      <c r="F150" s="113"/>
      <c r="G150" s="113"/>
      <c r="H150" s="113"/>
      <c r="I150" s="113"/>
      <c r="J150" s="113"/>
      <c r="K150" s="113"/>
      <c r="L150" s="113"/>
      <c r="M150" s="113"/>
      <c r="N150" s="113"/>
      <c r="O150" s="113"/>
      <c r="P150" s="113"/>
      <c r="Q150" s="113"/>
      <c r="R150" s="113"/>
      <c r="S150" s="113"/>
      <c r="T150" s="113"/>
      <c r="U150" s="113"/>
      <c r="V150" s="113"/>
      <c r="W150" s="113"/>
      <c r="X150" s="113"/>
      <c r="Y150" s="113"/>
      <c r="Z150" s="113"/>
      <c r="AA150" s="113"/>
      <c r="AB150" s="113"/>
      <c r="AC150" s="113"/>
      <c r="AD150" s="113"/>
      <c r="AE150" s="113"/>
      <c r="AF150" s="113"/>
      <c r="AG150" s="113"/>
      <c r="AH150" s="113"/>
      <c r="AI150" s="113"/>
      <c r="AJ150" s="113"/>
      <c r="AK150" s="113"/>
      <c r="AL150" s="113"/>
      <c r="AM150" s="113"/>
      <c r="AN150" s="113"/>
      <c r="AO150" s="113"/>
      <c r="AP150" s="113"/>
      <c r="AQ150" s="113"/>
      <c r="AR150" s="113"/>
      <c r="AS150" s="113"/>
      <c r="AT150" s="113"/>
      <c r="AU150" s="113"/>
      <c r="AV150" s="113"/>
      <c r="AW150" s="113"/>
      <c r="AX150" s="113"/>
      <c r="AY150" s="113"/>
      <c r="AZ150" s="113"/>
      <c r="BA150" s="113"/>
      <c r="BB150" s="113"/>
      <c r="BC150" s="113"/>
      <c r="BD150" s="113"/>
      <c r="BE150" s="113"/>
      <c r="BF150" s="113"/>
      <c r="BG150" s="113"/>
      <c r="BH150" s="113"/>
      <c r="BI150" s="113"/>
      <c r="BJ150" s="113"/>
    </row>
    <row r="151" spans="1:62" x14ac:dyDescent="0.2">
      <c r="A151" s="113"/>
      <c r="B151" s="113"/>
      <c r="C151" s="114"/>
      <c r="D151" s="113"/>
      <c r="E151" s="113"/>
      <c r="F151" s="113"/>
      <c r="G151" s="113"/>
      <c r="H151" s="113"/>
      <c r="I151" s="113"/>
      <c r="J151" s="113"/>
      <c r="K151" s="113"/>
      <c r="L151" s="113"/>
      <c r="M151" s="113"/>
      <c r="N151" s="113"/>
      <c r="O151" s="113"/>
      <c r="P151" s="113"/>
      <c r="Q151" s="113"/>
      <c r="R151" s="113"/>
      <c r="S151" s="113"/>
      <c r="T151" s="113"/>
      <c r="U151" s="113"/>
      <c r="V151" s="113"/>
      <c r="W151" s="113"/>
      <c r="X151" s="113"/>
      <c r="Y151" s="113"/>
      <c r="Z151" s="113"/>
      <c r="AA151" s="113"/>
      <c r="AB151" s="113"/>
      <c r="AC151" s="113"/>
      <c r="AD151" s="113"/>
      <c r="AE151" s="113"/>
      <c r="AF151" s="113"/>
      <c r="AG151" s="113"/>
      <c r="AH151" s="113"/>
      <c r="AI151" s="113"/>
      <c r="AJ151" s="113"/>
      <c r="AK151" s="113"/>
      <c r="AL151" s="113"/>
      <c r="AM151" s="113"/>
      <c r="AN151" s="113"/>
      <c r="AO151" s="113"/>
      <c r="AP151" s="113"/>
      <c r="AQ151" s="113"/>
      <c r="AR151" s="113"/>
      <c r="AS151" s="113"/>
      <c r="AT151" s="113"/>
      <c r="AU151" s="113"/>
      <c r="AV151" s="113"/>
      <c r="AW151" s="113"/>
      <c r="AX151" s="113"/>
      <c r="AY151" s="113"/>
      <c r="AZ151" s="113"/>
      <c r="BA151" s="113"/>
      <c r="BB151" s="113"/>
      <c r="BC151" s="113"/>
      <c r="BD151" s="113"/>
      <c r="BE151" s="113"/>
      <c r="BF151" s="113"/>
      <c r="BG151" s="113"/>
      <c r="BH151" s="113"/>
      <c r="BI151" s="113"/>
      <c r="BJ151" s="113"/>
    </row>
    <row r="152" spans="1:62" x14ac:dyDescent="0.2">
      <c r="A152" s="113"/>
      <c r="B152" s="113"/>
      <c r="C152" s="114"/>
      <c r="D152" s="113"/>
      <c r="E152" s="113"/>
      <c r="F152" s="113"/>
      <c r="G152" s="113"/>
      <c r="H152" s="113"/>
      <c r="I152" s="113"/>
      <c r="J152" s="113"/>
      <c r="K152" s="113"/>
      <c r="L152" s="113"/>
      <c r="M152" s="113"/>
      <c r="N152" s="113"/>
      <c r="O152" s="113"/>
      <c r="P152" s="113"/>
      <c r="Q152" s="113"/>
      <c r="R152" s="113"/>
      <c r="S152" s="113"/>
      <c r="T152" s="113"/>
      <c r="U152" s="113"/>
      <c r="V152" s="113"/>
      <c r="W152" s="113"/>
      <c r="X152" s="113"/>
      <c r="Y152" s="113"/>
      <c r="Z152" s="113"/>
      <c r="AA152" s="113"/>
      <c r="AB152" s="113"/>
      <c r="AC152" s="113"/>
      <c r="AD152" s="113"/>
      <c r="AE152" s="113"/>
      <c r="AF152" s="113"/>
      <c r="AG152" s="113"/>
      <c r="AH152" s="113"/>
      <c r="AI152" s="113"/>
      <c r="AJ152" s="113"/>
      <c r="AK152" s="113"/>
      <c r="AL152" s="113"/>
      <c r="AM152" s="113"/>
      <c r="AN152" s="113"/>
      <c r="AO152" s="113"/>
      <c r="AP152" s="113"/>
      <c r="AQ152" s="113"/>
      <c r="AR152" s="113"/>
      <c r="AS152" s="113"/>
      <c r="AT152" s="113"/>
      <c r="AU152" s="113"/>
      <c r="AV152" s="113"/>
      <c r="AW152" s="113"/>
      <c r="AX152" s="113"/>
      <c r="AY152" s="113"/>
      <c r="AZ152" s="113"/>
      <c r="BA152" s="113"/>
      <c r="BB152" s="113"/>
      <c r="BC152" s="113"/>
      <c r="BD152" s="113"/>
      <c r="BE152" s="113"/>
      <c r="BF152" s="113"/>
      <c r="BG152" s="113"/>
      <c r="BH152" s="113"/>
      <c r="BI152" s="113"/>
      <c r="BJ152" s="113"/>
    </row>
    <row r="153" spans="1:62" x14ac:dyDescent="0.2">
      <c r="A153" s="113"/>
      <c r="B153" s="113"/>
      <c r="C153" s="114"/>
      <c r="D153" s="113"/>
      <c r="E153" s="113"/>
      <c r="F153" s="113"/>
      <c r="G153" s="113"/>
      <c r="H153" s="113"/>
      <c r="I153" s="113"/>
      <c r="J153" s="113"/>
      <c r="K153" s="113"/>
      <c r="L153" s="113"/>
      <c r="M153" s="113"/>
      <c r="N153" s="113"/>
      <c r="O153" s="113"/>
      <c r="P153" s="113"/>
      <c r="Q153" s="113"/>
      <c r="R153" s="113"/>
      <c r="S153" s="113"/>
      <c r="T153" s="113"/>
      <c r="U153" s="113"/>
      <c r="V153" s="113"/>
      <c r="W153" s="113"/>
      <c r="X153" s="113"/>
      <c r="Y153" s="113"/>
      <c r="Z153" s="113"/>
      <c r="AA153" s="113"/>
      <c r="AB153" s="113"/>
      <c r="AC153" s="113"/>
      <c r="AD153" s="113"/>
      <c r="AE153" s="113"/>
      <c r="AF153" s="113"/>
      <c r="AG153" s="113"/>
      <c r="AH153" s="113"/>
      <c r="AI153" s="113"/>
      <c r="AJ153" s="113"/>
      <c r="AK153" s="113"/>
      <c r="AL153" s="113"/>
      <c r="AM153" s="113"/>
      <c r="AN153" s="113"/>
      <c r="AO153" s="113"/>
      <c r="AP153" s="113"/>
      <c r="AQ153" s="113"/>
      <c r="AR153" s="113"/>
      <c r="AS153" s="113"/>
      <c r="AT153" s="113"/>
      <c r="AU153" s="113"/>
      <c r="AV153" s="113"/>
      <c r="AW153" s="113"/>
      <c r="AX153" s="113"/>
      <c r="AY153" s="113"/>
      <c r="AZ153" s="113"/>
      <c r="BA153" s="113"/>
      <c r="BB153" s="113"/>
      <c r="BC153" s="113"/>
      <c r="BD153" s="113"/>
      <c r="BE153" s="113"/>
      <c r="BF153" s="113"/>
      <c r="BG153" s="113"/>
      <c r="BH153" s="113"/>
      <c r="BI153" s="113"/>
      <c r="BJ153" s="113"/>
    </row>
    <row r="154" spans="1:62" x14ac:dyDescent="0.2">
      <c r="A154" s="113"/>
      <c r="B154" s="113"/>
      <c r="C154" s="114"/>
      <c r="D154" s="113"/>
      <c r="E154" s="113"/>
      <c r="F154" s="113"/>
      <c r="G154" s="113"/>
      <c r="H154" s="113"/>
      <c r="I154" s="113"/>
      <c r="J154" s="113"/>
      <c r="K154" s="113"/>
      <c r="L154" s="113"/>
      <c r="M154" s="113"/>
      <c r="N154" s="113"/>
      <c r="O154" s="113"/>
      <c r="P154" s="113"/>
      <c r="Q154" s="113"/>
      <c r="R154" s="113"/>
      <c r="S154" s="113"/>
      <c r="T154" s="113"/>
      <c r="U154" s="113"/>
      <c r="V154" s="113"/>
      <c r="W154" s="113"/>
      <c r="X154" s="113"/>
      <c r="Y154" s="113"/>
      <c r="Z154" s="113"/>
      <c r="AA154" s="113"/>
      <c r="AB154" s="113"/>
      <c r="AC154" s="113"/>
      <c r="AD154" s="113"/>
      <c r="AE154" s="113"/>
      <c r="AF154" s="113"/>
      <c r="AG154" s="113"/>
      <c r="AH154" s="113"/>
      <c r="AI154" s="113"/>
      <c r="AJ154" s="113"/>
      <c r="AK154" s="113"/>
      <c r="AL154" s="113"/>
      <c r="AM154" s="113"/>
      <c r="AN154" s="113"/>
      <c r="AO154" s="113"/>
      <c r="AP154" s="113"/>
      <c r="AQ154" s="113"/>
      <c r="AR154" s="113"/>
      <c r="AS154" s="113"/>
      <c r="AT154" s="113"/>
      <c r="AU154" s="113"/>
      <c r="AV154" s="113"/>
      <c r="AW154" s="113"/>
      <c r="AX154" s="113"/>
      <c r="AY154" s="113"/>
      <c r="AZ154" s="113"/>
      <c r="BA154" s="113"/>
      <c r="BB154" s="113"/>
      <c r="BC154" s="113"/>
      <c r="BD154" s="113"/>
      <c r="BE154" s="113"/>
      <c r="BF154" s="113"/>
      <c r="BG154" s="113"/>
      <c r="BH154" s="113"/>
      <c r="BI154" s="113"/>
      <c r="BJ154" s="113"/>
    </row>
    <row r="155" spans="1:62" x14ac:dyDescent="0.2">
      <c r="A155" s="113"/>
      <c r="B155" s="113"/>
      <c r="C155" s="114"/>
      <c r="D155" s="113"/>
      <c r="E155" s="113"/>
      <c r="F155" s="113"/>
      <c r="G155" s="113"/>
      <c r="H155" s="113"/>
      <c r="I155" s="113"/>
      <c r="J155" s="113"/>
      <c r="K155" s="113"/>
      <c r="L155" s="113"/>
      <c r="M155" s="113"/>
      <c r="N155" s="113"/>
      <c r="O155" s="113"/>
      <c r="P155" s="113"/>
      <c r="Q155" s="113"/>
      <c r="R155" s="113"/>
      <c r="S155" s="113"/>
      <c r="T155" s="113"/>
      <c r="U155" s="113"/>
      <c r="V155" s="113"/>
      <c r="W155" s="113"/>
      <c r="X155" s="113"/>
      <c r="Y155" s="113"/>
      <c r="Z155" s="113"/>
      <c r="AA155" s="113"/>
      <c r="AB155" s="113"/>
      <c r="AC155" s="113"/>
      <c r="AD155" s="113"/>
      <c r="AE155" s="113"/>
      <c r="AF155" s="113"/>
      <c r="AG155" s="113"/>
      <c r="AH155" s="113"/>
      <c r="AI155" s="113"/>
      <c r="AJ155" s="113"/>
      <c r="AK155" s="113"/>
      <c r="AL155" s="113"/>
      <c r="AM155" s="113"/>
      <c r="AN155" s="113"/>
      <c r="AO155" s="113"/>
      <c r="AP155" s="113"/>
      <c r="AQ155" s="113"/>
      <c r="AR155" s="113"/>
      <c r="AS155" s="113"/>
      <c r="AT155" s="113"/>
      <c r="AU155" s="113"/>
      <c r="AV155" s="113"/>
      <c r="AW155" s="113"/>
      <c r="AX155" s="113"/>
      <c r="AY155" s="113"/>
      <c r="AZ155" s="113"/>
      <c r="BA155" s="113"/>
      <c r="BB155" s="113"/>
      <c r="BC155" s="113"/>
      <c r="BD155" s="113"/>
      <c r="BE155" s="113"/>
      <c r="BF155" s="113"/>
      <c r="BG155" s="113"/>
      <c r="BH155" s="113"/>
      <c r="BI155" s="113"/>
      <c r="BJ155" s="113"/>
    </row>
    <row r="156" spans="1:62" x14ac:dyDescent="0.2">
      <c r="A156" s="113"/>
      <c r="B156" s="113"/>
      <c r="C156" s="114"/>
      <c r="D156" s="113"/>
      <c r="E156" s="113"/>
      <c r="F156" s="113"/>
      <c r="G156" s="113"/>
      <c r="H156" s="113"/>
      <c r="I156" s="113"/>
      <c r="J156" s="113"/>
      <c r="K156" s="113"/>
      <c r="L156" s="113"/>
      <c r="M156" s="113"/>
      <c r="N156" s="113"/>
      <c r="O156" s="113"/>
      <c r="P156" s="113"/>
      <c r="Q156" s="113"/>
      <c r="R156" s="113"/>
      <c r="S156" s="113"/>
      <c r="T156" s="113"/>
      <c r="U156" s="113"/>
      <c r="V156" s="113"/>
      <c r="W156" s="113"/>
      <c r="X156" s="113"/>
      <c r="Y156" s="113"/>
      <c r="Z156" s="113"/>
      <c r="AA156" s="113"/>
      <c r="AB156" s="113"/>
      <c r="AC156" s="113"/>
      <c r="AD156" s="113"/>
      <c r="AE156" s="113"/>
      <c r="AF156" s="113"/>
      <c r="AG156" s="113"/>
      <c r="AH156" s="113"/>
      <c r="AI156" s="113"/>
      <c r="AJ156" s="113"/>
      <c r="AK156" s="113"/>
      <c r="AL156" s="113"/>
      <c r="AM156" s="113"/>
      <c r="AN156" s="113"/>
      <c r="AO156" s="113"/>
      <c r="AP156" s="113"/>
      <c r="AQ156" s="113"/>
      <c r="AR156" s="113"/>
      <c r="AS156" s="113"/>
      <c r="AT156" s="113"/>
      <c r="AU156" s="113"/>
      <c r="AV156" s="113"/>
      <c r="AW156" s="113"/>
      <c r="AX156" s="113"/>
      <c r="AY156" s="113"/>
      <c r="AZ156" s="113"/>
      <c r="BA156" s="113"/>
      <c r="BB156" s="113"/>
      <c r="BC156" s="113"/>
      <c r="BD156" s="113"/>
      <c r="BE156" s="113"/>
      <c r="BF156" s="113"/>
      <c r="BG156" s="113"/>
      <c r="BH156" s="113"/>
      <c r="BI156" s="113"/>
      <c r="BJ156" s="113"/>
    </row>
    <row r="157" spans="1:62" x14ac:dyDescent="0.2">
      <c r="A157" s="113"/>
      <c r="B157" s="113"/>
      <c r="C157" s="114"/>
      <c r="D157" s="113"/>
      <c r="E157" s="113"/>
      <c r="F157" s="113"/>
      <c r="G157" s="113"/>
      <c r="H157" s="113"/>
      <c r="I157" s="113"/>
      <c r="J157" s="113"/>
      <c r="K157" s="113"/>
      <c r="L157" s="113"/>
      <c r="M157" s="113"/>
      <c r="N157" s="113"/>
      <c r="O157" s="113"/>
      <c r="P157" s="113"/>
      <c r="Q157" s="113"/>
      <c r="R157" s="113"/>
      <c r="S157" s="113"/>
      <c r="T157" s="113"/>
      <c r="U157" s="113"/>
      <c r="V157" s="113"/>
      <c r="W157" s="113"/>
      <c r="X157" s="113"/>
      <c r="Y157" s="113"/>
      <c r="Z157" s="113"/>
      <c r="AA157" s="113"/>
      <c r="AB157" s="113"/>
      <c r="AC157" s="113"/>
      <c r="AD157" s="113"/>
      <c r="AE157" s="113"/>
      <c r="AF157" s="113"/>
      <c r="AG157" s="113"/>
      <c r="AH157" s="113"/>
      <c r="AI157" s="113"/>
      <c r="AJ157" s="113"/>
      <c r="AK157" s="113"/>
      <c r="AL157" s="113"/>
      <c r="AM157" s="113"/>
      <c r="AN157" s="113"/>
      <c r="AO157" s="113"/>
      <c r="AP157" s="113"/>
      <c r="AQ157" s="113"/>
      <c r="AR157" s="113"/>
      <c r="AS157" s="113"/>
      <c r="AT157" s="113"/>
      <c r="AU157" s="113"/>
      <c r="AV157" s="113"/>
      <c r="AW157" s="113"/>
      <c r="AX157" s="113"/>
      <c r="AY157" s="113"/>
      <c r="AZ157" s="113"/>
      <c r="BA157" s="113"/>
      <c r="BB157" s="113"/>
      <c r="BC157" s="113"/>
      <c r="BD157" s="113"/>
      <c r="BE157" s="113"/>
      <c r="BF157" s="113"/>
      <c r="BG157" s="113"/>
      <c r="BH157" s="113"/>
      <c r="BI157" s="113"/>
      <c r="BJ157" s="113"/>
    </row>
    <row r="158" spans="1:62" x14ac:dyDescent="0.2">
      <c r="A158" s="113"/>
      <c r="B158" s="113"/>
      <c r="C158" s="114"/>
      <c r="D158" s="113"/>
      <c r="E158" s="113"/>
      <c r="F158" s="113"/>
      <c r="G158" s="113"/>
      <c r="H158" s="113"/>
      <c r="I158" s="113"/>
      <c r="J158" s="113"/>
      <c r="K158" s="113"/>
      <c r="L158" s="113"/>
      <c r="M158" s="113"/>
      <c r="N158" s="113"/>
      <c r="O158" s="113"/>
      <c r="P158" s="113"/>
      <c r="Q158" s="113"/>
      <c r="R158" s="113"/>
      <c r="S158" s="113"/>
      <c r="T158" s="113"/>
      <c r="U158" s="113"/>
      <c r="V158" s="113"/>
      <c r="W158" s="113"/>
      <c r="X158" s="113"/>
      <c r="Y158" s="113"/>
      <c r="Z158" s="113"/>
      <c r="AA158" s="113"/>
      <c r="AB158" s="113"/>
      <c r="AC158" s="113"/>
      <c r="AD158" s="113"/>
      <c r="AE158" s="113"/>
      <c r="AF158" s="113"/>
      <c r="AG158" s="113"/>
      <c r="AH158" s="113"/>
      <c r="AI158" s="113"/>
      <c r="AJ158" s="113"/>
      <c r="AK158" s="113"/>
      <c r="AL158" s="113"/>
      <c r="AM158" s="113"/>
      <c r="AN158" s="113"/>
      <c r="AO158" s="113"/>
      <c r="AP158" s="113"/>
      <c r="AQ158" s="113"/>
      <c r="AR158" s="113"/>
      <c r="AS158" s="113"/>
      <c r="AT158" s="113"/>
      <c r="AU158" s="113"/>
      <c r="AV158" s="113"/>
      <c r="AW158" s="113"/>
      <c r="AX158" s="113"/>
      <c r="AY158" s="113"/>
      <c r="AZ158" s="113"/>
      <c r="BA158" s="113"/>
      <c r="BB158" s="113"/>
      <c r="BC158" s="113"/>
      <c r="BD158" s="113"/>
      <c r="BE158" s="113"/>
      <c r="BF158" s="113"/>
      <c r="BG158" s="113"/>
      <c r="BH158" s="113"/>
      <c r="BI158" s="113"/>
      <c r="BJ158" s="113"/>
    </row>
    <row r="159" spans="1:62" x14ac:dyDescent="0.2">
      <c r="A159" s="113"/>
      <c r="B159" s="113"/>
      <c r="C159" s="114"/>
      <c r="D159" s="113"/>
      <c r="E159" s="113"/>
      <c r="F159" s="113"/>
      <c r="G159" s="113"/>
      <c r="H159" s="113"/>
      <c r="I159" s="113"/>
      <c r="J159" s="113"/>
      <c r="K159" s="113"/>
      <c r="L159" s="113"/>
      <c r="M159" s="113"/>
      <c r="N159" s="113"/>
      <c r="O159" s="113"/>
      <c r="P159" s="113"/>
      <c r="Q159" s="113"/>
      <c r="R159" s="113"/>
      <c r="S159" s="113"/>
      <c r="T159" s="113"/>
      <c r="U159" s="113"/>
      <c r="V159" s="113"/>
      <c r="W159" s="113"/>
      <c r="X159" s="113"/>
      <c r="Y159" s="113"/>
      <c r="Z159" s="113"/>
      <c r="AA159" s="113"/>
      <c r="AB159" s="113"/>
      <c r="AC159" s="113"/>
      <c r="AD159" s="113"/>
      <c r="AE159" s="113"/>
      <c r="AF159" s="113"/>
      <c r="AG159" s="113"/>
      <c r="AH159" s="113"/>
      <c r="AI159" s="113"/>
      <c r="AJ159" s="113"/>
      <c r="AK159" s="113"/>
      <c r="AL159" s="113"/>
      <c r="AM159" s="113"/>
      <c r="AN159" s="113"/>
      <c r="AO159" s="113"/>
      <c r="AP159" s="113"/>
      <c r="AQ159" s="113"/>
      <c r="AR159" s="113"/>
      <c r="AS159" s="113"/>
      <c r="AT159" s="113"/>
      <c r="AU159" s="113"/>
      <c r="AV159" s="113"/>
      <c r="AW159" s="113"/>
      <c r="AX159" s="113"/>
      <c r="AY159" s="113"/>
      <c r="AZ159" s="113"/>
      <c r="BA159" s="113"/>
      <c r="BB159" s="113"/>
      <c r="BC159" s="113"/>
      <c r="BD159" s="113"/>
      <c r="BE159" s="113"/>
      <c r="BF159" s="113"/>
      <c r="BG159" s="113"/>
      <c r="BH159" s="113"/>
      <c r="BI159" s="113"/>
      <c r="BJ159" s="113"/>
    </row>
    <row r="160" spans="1:62" x14ac:dyDescent="0.2">
      <c r="A160" s="113"/>
      <c r="B160" s="113"/>
      <c r="C160" s="114"/>
      <c r="D160" s="113"/>
      <c r="E160" s="113"/>
      <c r="F160" s="113"/>
      <c r="G160" s="113"/>
      <c r="H160" s="113"/>
      <c r="I160" s="113"/>
      <c r="J160" s="113"/>
      <c r="K160" s="113"/>
      <c r="L160" s="113"/>
      <c r="M160" s="113"/>
      <c r="N160" s="113"/>
      <c r="O160" s="113"/>
      <c r="P160" s="113"/>
      <c r="Q160" s="113"/>
      <c r="R160" s="113"/>
      <c r="S160" s="113"/>
      <c r="T160" s="113"/>
      <c r="U160" s="113"/>
      <c r="V160" s="113"/>
      <c r="W160" s="113"/>
      <c r="X160" s="113"/>
      <c r="Y160" s="113"/>
      <c r="Z160" s="113"/>
      <c r="AA160" s="113"/>
      <c r="AB160" s="113"/>
      <c r="AC160" s="113"/>
      <c r="AD160" s="113"/>
      <c r="AE160" s="113"/>
      <c r="AF160" s="113"/>
      <c r="AG160" s="113"/>
      <c r="AH160" s="113"/>
      <c r="AI160" s="113"/>
      <c r="AJ160" s="113"/>
      <c r="AK160" s="113"/>
      <c r="AL160" s="113"/>
      <c r="AM160" s="113"/>
      <c r="AN160" s="113"/>
      <c r="AO160" s="113"/>
      <c r="AP160" s="113"/>
      <c r="AQ160" s="113"/>
      <c r="AR160" s="113"/>
      <c r="AS160" s="113"/>
      <c r="AT160" s="113"/>
      <c r="AU160" s="113"/>
      <c r="AV160" s="113"/>
      <c r="AW160" s="113"/>
      <c r="AX160" s="113"/>
      <c r="AY160" s="113"/>
      <c r="AZ160" s="113"/>
      <c r="BA160" s="113"/>
      <c r="BB160" s="113"/>
      <c r="BC160" s="113"/>
      <c r="BD160" s="113"/>
      <c r="BE160" s="113"/>
      <c r="BF160" s="113"/>
      <c r="BG160" s="113"/>
      <c r="BH160" s="113"/>
      <c r="BI160" s="113"/>
      <c r="BJ160" s="113"/>
    </row>
    <row r="161" spans="1:62" x14ac:dyDescent="0.2">
      <c r="A161" s="113"/>
      <c r="B161" s="113"/>
      <c r="C161" s="114"/>
      <c r="D161" s="113"/>
      <c r="E161" s="113"/>
      <c r="F161" s="113"/>
      <c r="G161" s="113"/>
      <c r="H161" s="113"/>
      <c r="I161" s="113"/>
      <c r="J161" s="113"/>
      <c r="K161" s="113"/>
      <c r="L161" s="113"/>
      <c r="M161" s="113"/>
      <c r="N161" s="113"/>
      <c r="O161" s="113"/>
      <c r="P161" s="113"/>
      <c r="Q161" s="113"/>
      <c r="R161" s="113"/>
      <c r="S161" s="113"/>
      <c r="T161" s="113"/>
      <c r="U161" s="113"/>
      <c r="V161" s="113"/>
      <c r="W161" s="113"/>
      <c r="X161" s="113"/>
      <c r="Y161" s="113"/>
      <c r="Z161" s="113"/>
      <c r="AA161" s="113"/>
      <c r="AB161" s="113"/>
      <c r="AC161" s="113"/>
      <c r="AD161" s="113"/>
      <c r="AE161" s="113"/>
      <c r="AF161" s="113"/>
      <c r="AG161" s="113"/>
      <c r="AH161" s="113"/>
      <c r="AI161" s="113"/>
      <c r="AJ161" s="113"/>
      <c r="AK161" s="113"/>
      <c r="AL161" s="113"/>
      <c r="AM161" s="113"/>
      <c r="AN161" s="113"/>
      <c r="AO161" s="113"/>
      <c r="AP161" s="113"/>
      <c r="AQ161" s="113"/>
      <c r="AR161" s="113"/>
      <c r="AS161" s="113"/>
      <c r="AT161" s="113"/>
      <c r="AU161" s="113"/>
      <c r="AV161" s="113"/>
      <c r="AW161" s="113"/>
      <c r="AX161" s="113"/>
      <c r="AY161" s="113"/>
      <c r="AZ161" s="113"/>
      <c r="BA161" s="113"/>
      <c r="BB161" s="113"/>
      <c r="BC161" s="113"/>
      <c r="BD161" s="113"/>
      <c r="BE161" s="113"/>
      <c r="BF161" s="113"/>
      <c r="BG161" s="113"/>
      <c r="BH161" s="113"/>
      <c r="BI161" s="113"/>
      <c r="BJ161" s="113"/>
    </row>
    <row r="162" spans="1:62" x14ac:dyDescent="0.2">
      <c r="A162" s="113"/>
      <c r="B162" s="113"/>
      <c r="C162" s="114"/>
      <c r="D162" s="113"/>
      <c r="E162" s="113"/>
      <c r="F162" s="113"/>
      <c r="G162" s="113"/>
      <c r="H162" s="113"/>
      <c r="I162" s="113"/>
      <c r="J162" s="113"/>
      <c r="K162" s="113"/>
      <c r="L162" s="113"/>
      <c r="M162" s="113"/>
      <c r="N162" s="113"/>
      <c r="O162" s="113"/>
      <c r="P162" s="113"/>
      <c r="Q162" s="113"/>
      <c r="R162" s="113"/>
      <c r="S162" s="113"/>
      <c r="T162" s="113"/>
      <c r="U162" s="113"/>
      <c r="V162" s="113"/>
      <c r="W162" s="113"/>
      <c r="X162" s="113"/>
      <c r="Y162" s="113"/>
      <c r="Z162" s="113"/>
      <c r="AA162" s="113"/>
      <c r="AB162" s="113"/>
      <c r="AC162" s="113"/>
      <c r="AD162" s="113"/>
      <c r="AE162" s="113"/>
      <c r="AF162" s="113"/>
      <c r="AG162" s="113"/>
      <c r="AH162" s="113"/>
      <c r="AI162" s="113"/>
      <c r="AJ162" s="113"/>
      <c r="AK162" s="113"/>
      <c r="AL162" s="113"/>
      <c r="AM162" s="113"/>
      <c r="AN162" s="113"/>
      <c r="AO162" s="113"/>
      <c r="AP162" s="113"/>
      <c r="AQ162" s="113"/>
      <c r="AR162" s="113"/>
      <c r="AS162" s="113"/>
      <c r="AT162" s="113"/>
      <c r="AU162" s="113"/>
      <c r="AV162" s="113"/>
      <c r="AW162" s="113"/>
      <c r="AX162" s="113"/>
      <c r="AY162" s="113"/>
      <c r="AZ162" s="113"/>
      <c r="BA162" s="113"/>
      <c r="BB162" s="113"/>
      <c r="BC162" s="113"/>
      <c r="BD162" s="113"/>
      <c r="BE162" s="113"/>
      <c r="BF162" s="113"/>
      <c r="BG162" s="113"/>
      <c r="BH162" s="113"/>
      <c r="BI162" s="113"/>
      <c r="BJ162" s="113"/>
    </row>
    <row r="163" spans="1:62" x14ac:dyDescent="0.2">
      <c r="A163" s="113"/>
      <c r="B163" s="113"/>
      <c r="C163" s="114"/>
      <c r="D163" s="113"/>
      <c r="E163" s="113"/>
      <c r="F163" s="113"/>
      <c r="G163" s="113"/>
      <c r="H163" s="113"/>
      <c r="I163" s="113"/>
      <c r="J163" s="113"/>
      <c r="K163" s="113"/>
      <c r="L163" s="113"/>
      <c r="M163" s="113"/>
      <c r="N163" s="113"/>
      <c r="O163" s="113"/>
      <c r="P163" s="113"/>
      <c r="Q163" s="113"/>
      <c r="R163" s="113"/>
      <c r="S163" s="113"/>
      <c r="T163" s="113"/>
      <c r="U163" s="113"/>
      <c r="V163" s="113"/>
      <c r="W163" s="113"/>
      <c r="X163" s="113"/>
      <c r="Y163" s="113"/>
      <c r="Z163" s="113"/>
      <c r="AA163" s="113"/>
      <c r="AB163" s="113"/>
      <c r="AC163" s="113"/>
      <c r="AD163" s="113"/>
      <c r="AE163" s="113"/>
      <c r="AF163" s="113"/>
      <c r="AG163" s="113"/>
      <c r="AH163" s="113"/>
      <c r="AI163" s="113"/>
      <c r="AJ163" s="113"/>
      <c r="AK163" s="113"/>
      <c r="AL163" s="113"/>
      <c r="AM163" s="113"/>
      <c r="AN163" s="113"/>
      <c r="AO163" s="113"/>
      <c r="AP163" s="113"/>
      <c r="AQ163" s="113"/>
      <c r="AR163" s="113"/>
      <c r="AS163" s="113"/>
      <c r="AT163" s="113"/>
      <c r="AU163" s="113"/>
      <c r="AV163" s="113"/>
      <c r="AW163" s="113"/>
      <c r="AX163" s="113"/>
      <c r="AY163" s="113"/>
      <c r="AZ163" s="113"/>
      <c r="BA163" s="113"/>
      <c r="BB163" s="113"/>
      <c r="BC163" s="113"/>
      <c r="BD163" s="113"/>
      <c r="BE163" s="113"/>
      <c r="BF163" s="113"/>
      <c r="BG163" s="113"/>
      <c r="BH163" s="113"/>
      <c r="BI163" s="113"/>
      <c r="BJ163" s="113"/>
    </row>
    <row r="164" spans="1:62" x14ac:dyDescent="0.2">
      <c r="A164" s="113"/>
      <c r="B164" s="113"/>
      <c r="C164" s="114"/>
      <c r="D164" s="113"/>
      <c r="E164" s="113"/>
      <c r="F164" s="113"/>
      <c r="G164" s="113"/>
      <c r="H164" s="113"/>
      <c r="I164" s="113"/>
      <c r="J164" s="113"/>
      <c r="K164" s="113"/>
      <c r="L164" s="113"/>
      <c r="M164" s="113"/>
      <c r="N164" s="113"/>
      <c r="O164" s="113"/>
      <c r="P164" s="113"/>
      <c r="Q164" s="113"/>
      <c r="R164" s="113"/>
      <c r="S164" s="113"/>
      <c r="T164" s="113"/>
      <c r="U164" s="113"/>
      <c r="V164" s="113"/>
      <c r="W164" s="113"/>
      <c r="X164" s="113"/>
      <c r="Y164" s="113"/>
      <c r="Z164" s="113"/>
      <c r="AA164" s="113"/>
      <c r="AB164" s="113"/>
      <c r="AC164" s="113"/>
      <c r="AD164" s="113"/>
      <c r="AE164" s="113"/>
      <c r="AF164" s="113"/>
      <c r="AG164" s="113"/>
      <c r="AH164" s="113"/>
      <c r="AI164" s="113"/>
      <c r="AJ164" s="113"/>
      <c r="AK164" s="113"/>
      <c r="AL164" s="113"/>
      <c r="AM164" s="113"/>
      <c r="AN164" s="113"/>
      <c r="AO164" s="113"/>
      <c r="AP164" s="113"/>
      <c r="AQ164" s="113"/>
      <c r="AR164" s="113"/>
      <c r="AS164" s="113"/>
      <c r="AT164" s="113"/>
      <c r="AU164" s="113"/>
      <c r="AV164" s="113"/>
      <c r="AW164" s="113"/>
      <c r="AX164" s="113"/>
      <c r="AY164" s="113"/>
      <c r="AZ164" s="113"/>
      <c r="BA164" s="113"/>
      <c r="BB164" s="113"/>
      <c r="BC164" s="113"/>
      <c r="BD164" s="113"/>
      <c r="BE164" s="113"/>
      <c r="BF164" s="113"/>
      <c r="BG164" s="113"/>
      <c r="BH164" s="113"/>
      <c r="BI164" s="113"/>
      <c r="BJ164" s="113"/>
    </row>
    <row r="165" spans="1:62" x14ac:dyDescent="0.2">
      <c r="A165" s="113"/>
      <c r="B165" s="113"/>
      <c r="C165" s="114"/>
      <c r="D165" s="113"/>
      <c r="E165" s="113"/>
      <c r="F165" s="113"/>
      <c r="G165" s="113"/>
      <c r="H165" s="113"/>
      <c r="I165" s="113"/>
      <c r="J165" s="113"/>
      <c r="K165" s="113"/>
      <c r="L165" s="113"/>
      <c r="M165" s="113"/>
      <c r="N165" s="113"/>
      <c r="O165" s="113"/>
      <c r="P165" s="113"/>
      <c r="Q165" s="113"/>
      <c r="R165" s="113"/>
      <c r="S165" s="113"/>
      <c r="T165" s="113"/>
      <c r="U165" s="113"/>
      <c r="V165" s="113"/>
      <c r="W165" s="113"/>
      <c r="X165" s="113"/>
      <c r="Y165" s="113"/>
      <c r="Z165" s="113"/>
      <c r="AA165" s="113"/>
      <c r="AB165" s="113"/>
      <c r="AC165" s="113"/>
      <c r="AD165" s="113"/>
      <c r="AE165" s="113"/>
      <c r="AF165" s="113"/>
      <c r="AG165" s="113"/>
      <c r="AH165" s="113"/>
      <c r="AI165" s="113"/>
      <c r="AJ165" s="113"/>
      <c r="AK165" s="113"/>
      <c r="AL165" s="113"/>
      <c r="AM165" s="113"/>
      <c r="AN165" s="113"/>
      <c r="AO165" s="113"/>
      <c r="AP165" s="113"/>
      <c r="AQ165" s="113"/>
      <c r="AR165" s="113"/>
      <c r="AS165" s="113"/>
      <c r="AT165" s="113"/>
      <c r="AU165" s="113"/>
      <c r="AV165" s="113"/>
      <c r="AW165" s="113"/>
      <c r="AX165" s="113"/>
      <c r="AY165" s="113"/>
      <c r="AZ165" s="113"/>
      <c r="BA165" s="113"/>
      <c r="BB165" s="113"/>
      <c r="BC165" s="113"/>
      <c r="BD165" s="113"/>
      <c r="BE165" s="113"/>
      <c r="BF165" s="113"/>
      <c r="BG165" s="113"/>
      <c r="BH165" s="113"/>
      <c r="BI165" s="113"/>
      <c r="BJ165" s="113"/>
    </row>
    <row r="166" spans="1:62" x14ac:dyDescent="0.2">
      <c r="A166" s="113"/>
      <c r="B166" s="113"/>
      <c r="C166" s="114"/>
      <c r="D166" s="113"/>
      <c r="E166" s="113"/>
      <c r="F166" s="113"/>
      <c r="G166" s="113"/>
      <c r="H166" s="113"/>
      <c r="I166" s="113"/>
      <c r="J166" s="113"/>
      <c r="K166" s="113"/>
      <c r="L166" s="113"/>
      <c r="M166" s="113"/>
      <c r="N166" s="113"/>
      <c r="O166" s="113"/>
      <c r="P166" s="113"/>
      <c r="Q166" s="113"/>
      <c r="R166" s="113"/>
      <c r="S166" s="113"/>
      <c r="T166" s="113"/>
      <c r="U166" s="113"/>
      <c r="V166" s="113"/>
      <c r="W166" s="113"/>
      <c r="X166" s="113"/>
      <c r="Y166" s="113"/>
      <c r="Z166" s="113"/>
      <c r="AA166" s="113"/>
      <c r="AB166" s="113"/>
      <c r="AC166" s="113"/>
      <c r="AD166" s="113"/>
      <c r="AE166" s="113"/>
      <c r="AF166" s="113"/>
      <c r="AG166" s="113"/>
      <c r="AH166" s="113"/>
      <c r="AI166" s="113"/>
      <c r="AJ166" s="113"/>
      <c r="AK166" s="113"/>
      <c r="AL166" s="113"/>
      <c r="AM166" s="113"/>
      <c r="AN166" s="113"/>
      <c r="AO166" s="113"/>
      <c r="AP166" s="113"/>
      <c r="AQ166" s="113"/>
      <c r="AR166" s="113"/>
      <c r="AS166" s="113"/>
      <c r="AT166" s="113"/>
      <c r="AU166" s="113"/>
      <c r="AV166" s="113"/>
      <c r="AW166" s="113"/>
      <c r="AX166" s="113"/>
      <c r="AY166" s="113"/>
      <c r="AZ166" s="113"/>
      <c r="BA166" s="113"/>
      <c r="BB166" s="113"/>
      <c r="BC166" s="113"/>
      <c r="BD166" s="113"/>
      <c r="BE166" s="113"/>
      <c r="BF166" s="113"/>
      <c r="BG166" s="113"/>
      <c r="BH166" s="113"/>
      <c r="BI166" s="113"/>
      <c r="BJ166" s="113"/>
    </row>
    <row r="167" spans="1:62" x14ac:dyDescent="0.2">
      <c r="A167" s="113"/>
      <c r="B167" s="113"/>
      <c r="C167" s="114"/>
      <c r="D167" s="113"/>
      <c r="E167" s="113"/>
      <c r="F167" s="113"/>
      <c r="G167" s="113"/>
      <c r="H167" s="113"/>
      <c r="I167" s="113"/>
      <c r="J167" s="113"/>
      <c r="K167" s="113"/>
      <c r="L167" s="113"/>
      <c r="M167" s="113"/>
      <c r="N167" s="113"/>
      <c r="O167" s="113"/>
      <c r="P167" s="113"/>
      <c r="Q167" s="113"/>
      <c r="R167" s="113"/>
      <c r="S167" s="113"/>
      <c r="T167" s="113"/>
      <c r="U167" s="113"/>
      <c r="V167" s="113"/>
      <c r="W167" s="113"/>
      <c r="X167" s="113"/>
      <c r="Y167" s="113"/>
      <c r="Z167" s="113"/>
      <c r="AA167" s="113"/>
      <c r="AB167" s="113"/>
      <c r="AC167" s="113"/>
      <c r="AD167" s="113"/>
      <c r="AE167" s="113"/>
      <c r="AF167" s="113"/>
      <c r="AG167" s="113"/>
      <c r="AH167" s="113"/>
      <c r="AI167" s="113"/>
      <c r="AJ167" s="113"/>
      <c r="AK167" s="113"/>
      <c r="AL167" s="113"/>
      <c r="AM167" s="113"/>
      <c r="AN167" s="113"/>
      <c r="AO167" s="113"/>
      <c r="AP167" s="113"/>
      <c r="AQ167" s="113"/>
      <c r="AR167" s="113"/>
      <c r="AS167" s="113"/>
      <c r="AT167" s="113"/>
      <c r="AU167" s="113"/>
      <c r="AV167" s="113"/>
      <c r="AW167" s="113"/>
      <c r="AX167" s="113"/>
      <c r="AY167" s="113"/>
      <c r="AZ167" s="113"/>
      <c r="BA167" s="113"/>
      <c r="BB167" s="113"/>
      <c r="BC167" s="113"/>
      <c r="BD167" s="113"/>
      <c r="BE167" s="113"/>
      <c r="BF167" s="113"/>
      <c r="BG167" s="113"/>
      <c r="BH167" s="113"/>
      <c r="BI167" s="113"/>
      <c r="BJ167" s="113"/>
    </row>
    <row r="168" spans="1:62" x14ac:dyDescent="0.2">
      <c r="A168" s="113"/>
      <c r="B168" s="113"/>
      <c r="C168" s="114"/>
      <c r="D168" s="113"/>
      <c r="E168" s="113"/>
      <c r="F168" s="113"/>
      <c r="G168" s="113"/>
      <c r="H168" s="113"/>
      <c r="I168" s="113"/>
      <c r="J168" s="113"/>
      <c r="K168" s="113"/>
      <c r="L168" s="113"/>
      <c r="M168" s="113"/>
      <c r="N168" s="113"/>
      <c r="O168" s="113"/>
      <c r="P168" s="113"/>
      <c r="Q168" s="113"/>
      <c r="R168" s="113"/>
      <c r="S168" s="113"/>
      <c r="T168" s="113"/>
      <c r="U168" s="113"/>
      <c r="V168" s="113"/>
      <c r="W168" s="113"/>
      <c r="X168" s="113"/>
      <c r="Y168" s="113"/>
      <c r="Z168" s="113"/>
      <c r="AA168" s="113"/>
      <c r="AB168" s="113"/>
      <c r="AC168" s="113"/>
      <c r="AD168" s="113"/>
      <c r="AE168" s="113"/>
      <c r="AF168" s="113"/>
      <c r="AG168" s="113"/>
      <c r="AH168" s="113"/>
      <c r="AI168" s="113"/>
      <c r="AJ168" s="113"/>
      <c r="AK168" s="113"/>
      <c r="AL168" s="113"/>
      <c r="AM168" s="113"/>
      <c r="AN168" s="113"/>
      <c r="AO168" s="113"/>
      <c r="AP168" s="113"/>
      <c r="AQ168" s="113"/>
      <c r="AR168" s="113"/>
      <c r="AS168" s="113"/>
      <c r="AT168" s="113"/>
      <c r="AU168" s="113"/>
      <c r="AV168" s="113"/>
      <c r="AW168" s="113"/>
      <c r="AX168" s="113"/>
      <c r="AY168" s="113"/>
      <c r="AZ168" s="113"/>
      <c r="BA168" s="113"/>
      <c r="BB168" s="113"/>
      <c r="BC168" s="113"/>
      <c r="BD168" s="113"/>
      <c r="BE168" s="113"/>
      <c r="BF168" s="113"/>
      <c r="BG168" s="113"/>
      <c r="BH168" s="113"/>
      <c r="BI168" s="113"/>
      <c r="BJ168" s="113"/>
    </row>
    <row r="169" spans="1:62" x14ac:dyDescent="0.2">
      <c r="A169" s="113"/>
      <c r="B169" s="113"/>
      <c r="C169" s="114"/>
      <c r="D169" s="113"/>
      <c r="E169" s="113"/>
      <c r="F169" s="113"/>
      <c r="G169" s="113"/>
      <c r="H169" s="113"/>
      <c r="I169" s="113"/>
      <c r="J169" s="113"/>
      <c r="K169" s="113"/>
      <c r="L169" s="113"/>
      <c r="M169" s="113"/>
      <c r="N169" s="113"/>
      <c r="O169" s="113"/>
      <c r="P169" s="113"/>
      <c r="Q169" s="113"/>
      <c r="R169" s="113"/>
      <c r="S169" s="113"/>
      <c r="T169" s="113"/>
      <c r="U169" s="113"/>
      <c r="V169" s="113"/>
      <c r="W169" s="113"/>
      <c r="X169" s="113"/>
      <c r="Y169" s="113"/>
      <c r="Z169" s="113"/>
      <c r="AA169" s="113"/>
      <c r="AB169" s="113"/>
      <c r="AC169" s="113"/>
      <c r="AD169" s="113"/>
      <c r="AE169" s="113"/>
      <c r="AF169" s="113"/>
      <c r="AG169" s="113"/>
      <c r="AH169" s="113"/>
      <c r="AI169" s="113"/>
      <c r="AJ169" s="113"/>
      <c r="AK169" s="113"/>
      <c r="AL169" s="113"/>
      <c r="AM169" s="113"/>
      <c r="AN169" s="113"/>
      <c r="AO169" s="113"/>
      <c r="AP169" s="113"/>
      <c r="AQ169" s="113"/>
      <c r="AR169" s="113"/>
      <c r="AS169" s="113"/>
      <c r="AT169" s="113"/>
      <c r="AU169" s="113"/>
      <c r="AV169" s="113"/>
      <c r="AW169" s="113"/>
      <c r="AX169" s="113"/>
      <c r="AY169" s="113"/>
      <c r="AZ169" s="113"/>
      <c r="BA169" s="113"/>
      <c r="BB169" s="113"/>
      <c r="BC169" s="113"/>
      <c r="BD169" s="113"/>
      <c r="BE169" s="113"/>
      <c r="BF169" s="113"/>
      <c r="BG169" s="113"/>
      <c r="BH169" s="113"/>
      <c r="BI169" s="113"/>
      <c r="BJ169" s="113"/>
    </row>
    <row r="170" spans="1:62" x14ac:dyDescent="0.2">
      <c r="A170" s="113"/>
      <c r="B170" s="113"/>
      <c r="C170" s="114"/>
      <c r="D170" s="113"/>
      <c r="E170" s="113"/>
      <c r="F170" s="113"/>
      <c r="G170" s="113"/>
      <c r="H170" s="113"/>
      <c r="I170" s="113"/>
      <c r="J170" s="113"/>
      <c r="K170" s="113"/>
      <c r="L170" s="113"/>
      <c r="M170" s="113"/>
      <c r="N170" s="113"/>
      <c r="O170" s="113"/>
      <c r="P170" s="113"/>
      <c r="Q170" s="113"/>
      <c r="R170" s="113"/>
      <c r="S170" s="113"/>
      <c r="T170" s="113"/>
      <c r="U170" s="113"/>
      <c r="V170" s="113"/>
      <c r="W170" s="113"/>
      <c r="X170" s="113"/>
      <c r="Y170" s="113"/>
      <c r="Z170" s="113"/>
      <c r="AA170" s="113"/>
      <c r="AB170" s="113"/>
      <c r="AC170" s="113"/>
      <c r="AD170" s="113"/>
      <c r="AE170" s="113"/>
      <c r="AF170" s="113"/>
      <c r="AG170" s="113"/>
      <c r="AH170" s="113"/>
      <c r="AI170" s="113"/>
      <c r="AJ170" s="113"/>
      <c r="AK170" s="113"/>
      <c r="AL170" s="113"/>
      <c r="AM170" s="113"/>
      <c r="AN170" s="113"/>
      <c r="AO170" s="113"/>
      <c r="AP170" s="113"/>
      <c r="AQ170" s="113"/>
      <c r="AR170" s="113"/>
      <c r="AS170" s="113"/>
      <c r="AT170" s="113"/>
      <c r="AU170" s="113"/>
      <c r="AV170" s="113"/>
      <c r="AW170" s="113"/>
      <c r="AX170" s="113"/>
      <c r="AY170" s="113"/>
      <c r="AZ170" s="113"/>
      <c r="BA170" s="113"/>
      <c r="BB170" s="113"/>
      <c r="BC170" s="113"/>
      <c r="BD170" s="113"/>
      <c r="BE170" s="113"/>
      <c r="BF170" s="113"/>
      <c r="BG170" s="113"/>
      <c r="BH170" s="113"/>
      <c r="BI170" s="113"/>
      <c r="BJ170" s="113"/>
    </row>
    <row r="171" spans="1:62" x14ac:dyDescent="0.2">
      <c r="A171" s="113"/>
      <c r="B171" s="113"/>
      <c r="C171" s="114"/>
      <c r="D171" s="113"/>
      <c r="E171" s="113"/>
      <c r="F171" s="113"/>
      <c r="G171" s="113"/>
      <c r="H171" s="113"/>
      <c r="I171" s="113"/>
      <c r="J171" s="113"/>
      <c r="K171" s="113"/>
      <c r="L171" s="113"/>
      <c r="M171" s="113"/>
      <c r="N171" s="113"/>
      <c r="O171" s="113"/>
      <c r="P171" s="113"/>
      <c r="Q171" s="113"/>
      <c r="R171" s="113"/>
      <c r="S171" s="113"/>
      <c r="T171" s="113"/>
      <c r="U171" s="113"/>
      <c r="V171" s="113"/>
      <c r="W171" s="113"/>
      <c r="X171" s="113"/>
      <c r="Y171" s="113"/>
      <c r="Z171" s="113"/>
      <c r="AA171" s="113"/>
      <c r="AB171" s="113"/>
      <c r="AC171" s="113"/>
      <c r="AD171" s="113"/>
      <c r="AE171" s="113"/>
      <c r="AF171" s="113"/>
      <c r="AG171" s="113"/>
      <c r="AH171" s="113"/>
      <c r="AI171" s="113"/>
      <c r="AJ171" s="113"/>
      <c r="AK171" s="113"/>
      <c r="AL171" s="113"/>
      <c r="AM171" s="113"/>
      <c r="AN171" s="113"/>
      <c r="AO171" s="113"/>
      <c r="AP171" s="113"/>
      <c r="AQ171" s="113"/>
      <c r="AR171" s="113"/>
      <c r="AS171" s="113"/>
      <c r="AT171" s="113"/>
      <c r="AU171" s="113"/>
      <c r="AV171" s="113"/>
      <c r="AW171" s="113"/>
      <c r="AX171" s="113"/>
      <c r="AY171" s="113"/>
      <c r="AZ171" s="113"/>
      <c r="BA171" s="113"/>
      <c r="BB171" s="113"/>
      <c r="BC171" s="113"/>
      <c r="BD171" s="113"/>
      <c r="BE171" s="113"/>
      <c r="BF171" s="113"/>
      <c r="BG171" s="113"/>
      <c r="BH171" s="113"/>
      <c r="BI171" s="113"/>
      <c r="BJ171" s="113"/>
    </row>
    <row r="172" spans="1:62" x14ac:dyDescent="0.2">
      <c r="A172" s="113"/>
      <c r="B172" s="113"/>
      <c r="C172" s="114"/>
      <c r="D172" s="113"/>
      <c r="E172" s="113"/>
      <c r="F172" s="113"/>
      <c r="G172" s="113"/>
      <c r="H172" s="113"/>
      <c r="I172" s="113"/>
      <c r="J172" s="113"/>
      <c r="K172" s="113"/>
      <c r="L172" s="113"/>
      <c r="M172" s="113"/>
      <c r="N172" s="113"/>
      <c r="O172" s="113"/>
      <c r="P172" s="113"/>
      <c r="Q172" s="113"/>
      <c r="R172" s="113"/>
      <c r="S172" s="113"/>
      <c r="T172" s="113"/>
      <c r="U172" s="113"/>
      <c r="V172" s="113"/>
      <c r="W172" s="113"/>
      <c r="X172" s="113"/>
      <c r="Y172" s="113"/>
      <c r="Z172" s="113"/>
      <c r="AA172" s="113"/>
      <c r="AB172" s="113"/>
      <c r="AC172" s="113"/>
      <c r="AD172" s="113"/>
      <c r="AE172" s="113"/>
      <c r="AF172" s="113"/>
      <c r="AG172" s="113"/>
      <c r="AH172" s="113"/>
      <c r="AI172" s="113"/>
      <c r="AJ172" s="113"/>
      <c r="AK172" s="113"/>
      <c r="AL172" s="113"/>
      <c r="AM172" s="113"/>
      <c r="AN172" s="113"/>
      <c r="AO172" s="113"/>
      <c r="AP172" s="113"/>
      <c r="AQ172" s="113"/>
      <c r="AR172" s="113"/>
      <c r="AS172" s="113"/>
      <c r="AT172" s="113"/>
      <c r="AU172" s="113"/>
      <c r="AV172" s="113"/>
      <c r="AW172" s="113"/>
      <c r="AX172" s="113"/>
      <c r="AY172" s="113"/>
      <c r="AZ172" s="113"/>
      <c r="BA172" s="113"/>
      <c r="BB172" s="113"/>
      <c r="BC172" s="113"/>
      <c r="BD172" s="113"/>
      <c r="BE172" s="113"/>
      <c r="BF172" s="113"/>
      <c r="BG172" s="113"/>
      <c r="BH172" s="113"/>
      <c r="BI172" s="113"/>
      <c r="BJ172" s="113"/>
    </row>
    <row r="173" spans="1:62" x14ac:dyDescent="0.2">
      <c r="A173" s="113"/>
      <c r="B173" s="113"/>
      <c r="C173" s="114"/>
      <c r="D173" s="113"/>
      <c r="E173" s="113"/>
      <c r="F173" s="113"/>
      <c r="G173" s="113"/>
      <c r="H173" s="113"/>
      <c r="I173" s="113"/>
      <c r="J173" s="113"/>
      <c r="K173" s="113"/>
      <c r="L173" s="113"/>
      <c r="M173" s="113"/>
      <c r="N173" s="113"/>
      <c r="O173" s="113"/>
      <c r="P173" s="113"/>
      <c r="Q173" s="113"/>
      <c r="R173" s="113"/>
      <c r="S173" s="113"/>
      <c r="T173" s="113"/>
      <c r="U173" s="113"/>
      <c r="V173" s="113"/>
      <c r="W173" s="113"/>
      <c r="X173" s="113"/>
      <c r="Y173" s="113"/>
      <c r="Z173" s="113"/>
      <c r="AA173" s="113"/>
      <c r="AB173" s="113"/>
      <c r="AC173" s="113"/>
      <c r="AD173" s="113"/>
      <c r="AE173" s="113"/>
      <c r="AF173" s="113"/>
      <c r="AG173" s="113"/>
      <c r="AH173" s="113"/>
      <c r="AI173" s="113"/>
      <c r="AJ173" s="113"/>
      <c r="AK173" s="113"/>
      <c r="AL173" s="113"/>
      <c r="AM173" s="113"/>
      <c r="AN173" s="113"/>
      <c r="AO173" s="113"/>
      <c r="AP173" s="113"/>
      <c r="AQ173" s="113"/>
      <c r="AR173" s="113"/>
      <c r="AS173" s="113"/>
      <c r="AT173" s="113"/>
      <c r="AU173" s="113"/>
      <c r="AV173" s="113"/>
      <c r="AW173" s="113"/>
      <c r="AX173" s="113"/>
      <c r="AY173" s="113"/>
      <c r="AZ173" s="113"/>
      <c r="BA173" s="113"/>
      <c r="BB173" s="113"/>
      <c r="BC173" s="113"/>
      <c r="BD173" s="113"/>
      <c r="BE173" s="113"/>
      <c r="BF173" s="113"/>
      <c r="BG173" s="113"/>
      <c r="BH173" s="113"/>
      <c r="BI173" s="113"/>
      <c r="BJ173" s="113"/>
    </row>
    <row r="174" spans="1:62" x14ac:dyDescent="0.2">
      <c r="A174" s="113"/>
      <c r="B174" s="113"/>
      <c r="C174" s="114"/>
      <c r="D174" s="113"/>
      <c r="E174" s="113"/>
      <c r="F174" s="113"/>
      <c r="G174" s="113"/>
      <c r="H174" s="113"/>
      <c r="I174" s="113"/>
      <c r="J174" s="113"/>
      <c r="K174" s="113"/>
      <c r="L174" s="113"/>
      <c r="M174" s="113"/>
      <c r="N174" s="113"/>
      <c r="O174" s="113"/>
      <c r="P174" s="113"/>
      <c r="Q174" s="113"/>
      <c r="R174" s="113"/>
      <c r="S174" s="113"/>
      <c r="T174" s="113"/>
      <c r="U174" s="113"/>
      <c r="V174" s="113"/>
      <c r="W174" s="113"/>
      <c r="X174" s="113"/>
      <c r="Y174" s="113"/>
      <c r="Z174" s="113"/>
      <c r="AA174" s="113"/>
      <c r="AB174" s="113"/>
      <c r="AC174" s="113"/>
      <c r="AD174" s="113"/>
      <c r="AE174" s="113"/>
      <c r="AF174" s="113"/>
      <c r="AG174" s="113"/>
      <c r="AH174" s="113"/>
      <c r="AI174" s="113"/>
      <c r="AJ174" s="113"/>
      <c r="AK174" s="113"/>
      <c r="AL174" s="113"/>
      <c r="AM174" s="113"/>
      <c r="AN174" s="113"/>
      <c r="AO174" s="113"/>
      <c r="AP174" s="113"/>
      <c r="AQ174" s="113"/>
      <c r="AR174" s="113"/>
      <c r="AS174" s="113"/>
      <c r="AT174" s="113"/>
      <c r="AU174" s="113"/>
      <c r="AV174" s="113"/>
      <c r="AW174" s="113"/>
      <c r="AX174" s="113"/>
      <c r="AY174" s="113"/>
      <c r="AZ174" s="113"/>
      <c r="BA174" s="113"/>
      <c r="BB174" s="113"/>
      <c r="BC174" s="113"/>
      <c r="BD174" s="113"/>
      <c r="BE174" s="113"/>
      <c r="BF174" s="113"/>
      <c r="BG174" s="113"/>
      <c r="BH174" s="113"/>
      <c r="BI174" s="113"/>
      <c r="BJ174" s="113"/>
    </row>
    <row r="175" spans="1:62" x14ac:dyDescent="0.2">
      <c r="A175" s="113"/>
      <c r="B175" s="113"/>
      <c r="C175" s="114"/>
      <c r="D175" s="113"/>
      <c r="E175" s="113"/>
      <c r="F175" s="113"/>
      <c r="G175" s="113"/>
      <c r="H175" s="113"/>
      <c r="I175" s="113"/>
      <c r="J175" s="113"/>
      <c r="K175" s="113"/>
      <c r="L175" s="113"/>
      <c r="M175" s="113"/>
      <c r="N175" s="113"/>
      <c r="O175" s="113"/>
      <c r="P175" s="113"/>
      <c r="Q175" s="113"/>
      <c r="R175" s="113"/>
      <c r="S175" s="113"/>
      <c r="T175" s="113"/>
      <c r="U175" s="113"/>
      <c r="V175" s="113"/>
      <c r="W175" s="113"/>
      <c r="X175" s="113"/>
      <c r="Y175" s="113"/>
      <c r="Z175" s="113"/>
      <c r="AA175" s="113"/>
      <c r="AB175" s="113"/>
      <c r="AC175" s="113"/>
      <c r="AD175" s="113"/>
      <c r="AE175" s="113"/>
      <c r="AF175" s="113"/>
      <c r="AG175" s="113"/>
      <c r="AH175" s="113"/>
      <c r="AI175" s="113"/>
      <c r="AJ175" s="113"/>
      <c r="AK175" s="113"/>
      <c r="AL175" s="113"/>
      <c r="AM175" s="113"/>
      <c r="AN175" s="113"/>
      <c r="AO175" s="113"/>
      <c r="AP175" s="113"/>
      <c r="AQ175" s="113"/>
      <c r="AR175" s="113"/>
      <c r="AS175" s="113"/>
      <c r="AT175" s="113"/>
      <c r="AU175" s="113"/>
      <c r="AV175" s="113"/>
      <c r="AW175" s="113"/>
      <c r="AX175" s="113"/>
      <c r="AY175" s="113"/>
      <c r="AZ175" s="113"/>
      <c r="BA175" s="113"/>
      <c r="BB175" s="113"/>
      <c r="BC175" s="113"/>
      <c r="BD175" s="113"/>
      <c r="BE175" s="113"/>
      <c r="BF175" s="113"/>
      <c r="BG175" s="113"/>
      <c r="BH175" s="113"/>
      <c r="BI175" s="113"/>
      <c r="BJ175" s="113"/>
    </row>
    <row r="176" spans="1:62" x14ac:dyDescent="0.2">
      <c r="A176" s="113"/>
      <c r="B176" s="113"/>
      <c r="C176" s="114"/>
      <c r="D176" s="113"/>
      <c r="E176" s="113"/>
      <c r="F176" s="113"/>
      <c r="G176" s="113"/>
      <c r="H176" s="113"/>
      <c r="I176" s="113"/>
      <c r="J176" s="113"/>
      <c r="K176" s="113"/>
      <c r="L176" s="113"/>
      <c r="M176" s="113"/>
      <c r="N176" s="113"/>
      <c r="O176" s="113"/>
      <c r="P176" s="113"/>
      <c r="Q176" s="113"/>
      <c r="R176" s="113"/>
      <c r="S176" s="113"/>
      <c r="T176" s="113"/>
      <c r="U176" s="113"/>
      <c r="V176" s="113"/>
      <c r="W176" s="113"/>
      <c r="X176" s="113"/>
      <c r="Y176" s="113"/>
      <c r="Z176" s="113"/>
      <c r="AA176" s="113"/>
      <c r="AB176" s="113"/>
      <c r="AC176" s="113"/>
      <c r="AD176" s="113"/>
      <c r="AE176" s="113"/>
      <c r="AF176" s="113"/>
      <c r="AG176" s="113"/>
      <c r="AH176" s="113"/>
      <c r="AI176" s="113"/>
      <c r="AJ176" s="113"/>
      <c r="AK176" s="113"/>
      <c r="AL176" s="113"/>
      <c r="AM176" s="113"/>
      <c r="AN176" s="113"/>
      <c r="AO176" s="113"/>
      <c r="AP176" s="113"/>
      <c r="AQ176" s="113"/>
      <c r="AR176" s="113"/>
      <c r="AS176" s="113"/>
      <c r="AT176" s="113"/>
      <c r="AU176" s="113"/>
      <c r="AV176" s="113"/>
      <c r="AW176" s="113"/>
      <c r="AX176" s="113"/>
      <c r="AY176" s="113"/>
      <c r="AZ176" s="113"/>
      <c r="BA176" s="113"/>
      <c r="BB176" s="113"/>
      <c r="BC176" s="113"/>
      <c r="BD176" s="113"/>
      <c r="BE176" s="113"/>
      <c r="BF176" s="113"/>
      <c r="BG176" s="113"/>
      <c r="BH176" s="113"/>
      <c r="BI176" s="113"/>
      <c r="BJ176" s="113"/>
    </row>
    <row r="177" spans="1:62" x14ac:dyDescent="0.2">
      <c r="A177" s="113"/>
      <c r="B177" s="113"/>
      <c r="C177" s="114"/>
      <c r="D177" s="113"/>
      <c r="E177" s="113"/>
      <c r="F177" s="113"/>
      <c r="G177" s="113"/>
      <c r="H177" s="113"/>
      <c r="I177" s="113"/>
      <c r="J177" s="113"/>
      <c r="K177" s="113"/>
      <c r="L177" s="113"/>
      <c r="M177" s="113"/>
      <c r="N177" s="113"/>
      <c r="O177" s="113"/>
      <c r="P177" s="113"/>
      <c r="Q177" s="113"/>
      <c r="R177" s="113"/>
      <c r="S177" s="113"/>
      <c r="T177" s="113"/>
      <c r="U177" s="113"/>
      <c r="V177" s="113"/>
      <c r="W177" s="113"/>
      <c r="X177" s="113"/>
      <c r="Y177" s="113"/>
      <c r="Z177" s="113"/>
      <c r="AA177" s="113"/>
      <c r="AB177" s="113"/>
      <c r="AC177" s="113"/>
      <c r="AD177" s="113"/>
      <c r="AE177" s="113"/>
      <c r="AF177" s="113"/>
      <c r="AG177" s="113"/>
      <c r="AH177" s="113"/>
      <c r="AI177" s="113"/>
      <c r="AJ177" s="113"/>
      <c r="AK177" s="113"/>
      <c r="AL177" s="113"/>
      <c r="AM177" s="113"/>
      <c r="AN177" s="113"/>
      <c r="AO177" s="113"/>
      <c r="AP177" s="113"/>
      <c r="AQ177" s="113"/>
      <c r="AR177" s="113"/>
      <c r="AS177" s="113"/>
      <c r="AT177" s="113"/>
      <c r="AU177" s="113"/>
      <c r="AV177" s="113"/>
      <c r="AW177" s="113"/>
      <c r="AX177" s="113"/>
      <c r="AY177" s="113"/>
      <c r="AZ177" s="113"/>
      <c r="BA177" s="113"/>
      <c r="BB177" s="113"/>
      <c r="BC177" s="113"/>
      <c r="BD177" s="113"/>
      <c r="BE177" s="113"/>
      <c r="BF177" s="113"/>
      <c r="BG177" s="113"/>
      <c r="BH177" s="113"/>
      <c r="BI177" s="113"/>
      <c r="BJ177" s="113"/>
    </row>
    <row r="178" spans="1:62" x14ac:dyDescent="0.2">
      <c r="A178" s="113"/>
      <c r="B178" s="113"/>
      <c r="C178" s="114"/>
      <c r="D178" s="113"/>
      <c r="E178" s="113"/>
      <c r="F178" s="113"/>
      <c r="G178" s="113"/>
      <c r="H178" s="113"/>
      <c r="I178" s="113"/>
      <c r="J178" s="113"/>
      <c r="K178" s="113"/>
      <c r="L178" s="113"/>
      <c r="M178" s="113"/>
      <c r="N178" s="113"/>
      <c r="O178" s="113"/>
      <c r="P178" s="113"/>
      <c r="Q178" s="113"/>
      <c r="R178" s="113"/>
      <c r="S178" s="113"/>
      <c r="T178" s="113"/>
      <c r="U178" s="113"/>
      <c r="V178" s="113"/>
      <c r="W178" s="113"/>
      <c r="X178" s="113"/>
      <c r="Y178" s="113"/>
      <c r="Z178" s="113"/>
      <c r="AA178" s="113"/>
      <c r="AB178" s="113"/>
      <c r="AC178" s="113"/>
      <c r="AD178" s="113"/>
      <c r="AE178" s="113"/>
      <c r="AF178" s="113"/>
      <c r="AG178" s="113"/>
      <c r="AH178" s="113"/>
      <c r="AI178" s="113"/>
      <c r="AJ178" s="113"/>
      <c r="AK178" s="113"/>
      <c r="AL178" s="113"/>
      <c r="AM178" s="113"/>
      <c r="AN178" s="113"/>
      <c r="AO178" s="113"/>
      <c r="AP178" s="113"/>
      <c r="AQ178" s="113"/>
      <c r="AR178" s="113"/>
      <c r="AS178" s="113"/>
      <c r="AT178" s="113"/>
      <c r="AU178" s="113"/>
      <c r="AV178" s="113"/>
      <c r="AW178" s="113"/>
      <c r="AX178" s="113"/>
      <c r="AY178" s="113"/>
      <c r="AZ178" s="113"/>
      <c r="BA178" s="113"/>
      <c r="BB178" s="113"/>
      <c r="BC178" s="113"/>
      <c r="BD178" s="113"/>
      <c r="BE178" s="113"/>
      <c r="BF178" s="113"/>
      <c r="BG178" s="113"/>
      <c r="BH178" s="113"/>
      <c r="BI178" s="113"/>
      <c r="BJ178" s="113"/>
    </row>
    <row r="179" spans="1:62" x14ac:dyDescent="0.2">
      <c r="A179" s="113"/>
      <c r="B179" s="113"/>
      <c r="C179" s="114"/>
      <c r="D179" s="113"/>
      <c r="E179" s="113"/>
      <c r="F179" s="113"/>
      <c r="G179" s="113"/>
      <c r="H179" s="113"/>
      <c r="I179" s="113"/>
      <c r="J179" s="113"/>
      <c r="K179" s="113"/>
      <c r="L179" s="113"/>
      <c r="M179" s="113"/>
      <c r="N179" s="113"/>
      <c r="O179" s="113"/>
      <c r="P179" s="113"/>
      <c r="Q179" s="113"/>
      <c r="R179" s="113"/>
      <c r="S179" s="113"/>
      <c r="T179" s="113"/>
      <c r="U179" s="113"/>
      <c r="V179" s="113"/>
      <c r="W179" s="113"/>
      <c r="X179" s="113"/>
      <c r="Y179" s="113"/>
      <c r="Z179" s="113"/>
      <c r="AA179" s="113"/>
      <c r="AB179" s="113"/>
      <c r="AC179" s="113"/>
      <c r="AD179" s="113"/>
      <c r="AE179" s="113"/>
      <c r="AF179" s="113"/>
      <c r="AG179" s="113"/>
      <c r="AH179" s="113"/>
      <c r="AI179" s="113"/>
      <c r="AJ179" s="113"/>
      <c r="AK179" s="113"/>
      <c r="AL179" s="113"/>
      <c r="AM179" s="113"/>
      <c r="AN179" s="113"/>
      <c r="AO179" s="113"/>
      <c r="AP179" s="113"/>
      <c r="AQ179" s="113"/>
      <c r="AR179" s="113"/>
      <c r="AS179" s="113"/>
      <c r="AT179" s="113"/>
      <c r="AU179" s="113"/>
      <c r="AV179" s="113"/>
      <c r="AW179" s="113"/>
      <c r="AX179" s="113"/>
      <c r="AY179" s="113"/>
      <c r="AZ179" s="113"/>
      <c r="BA179" s="113"/>
      <c r="BB179" s="113"/>
      <c r="BC179" s="113"/>
      <c r="BD179" s="113"/>
      <c r="BE179" s="113"/>
      <c r="BF179" s="113"/>
      <c r="BG179" s="113"/>
      <c r="BH179" s="113"/>
      <c r="BI179" s="113"/>
      <c r="BJ179" s="113"/>
    </row>
    <row r="180" spans="1:62" x14ac:dyDescent="0.2">
      <c r="A180" s="113"/>
      <c r="B180" s="113"/>
      <c r="C180" s="114"/>
      <c r="D180" s="113"/>
      <c r="E180" s="113"/>
      <c r="F180" s="113"/>
      <c r="G180" s="113"/>
      <c r="H180" s="113"/>
      <c r="I180" s="113"/>
      <c r="J180" s="113"/>
      <c r="K180" s="113"/>
      <c r="L180" s="113"/>
      <c r="M180" s="113"/>
      <c r="N180" s="113"/>
      <c r="O180" s="113"/>
      <c r="P180" s="113"/>
      <c r="Q180" s="113"/>
      <c r="R180" s="113"/>
      <c r="S180" s="113"/>
      <c r="T180" s="113"/>
      <c r="U180" s="113"/>
      <c r="V180" s="113"/>
      <c r="W180" s="113"/>
      <c r="X180" s="113"/>
      <c r="Y180" s="113"/>
      <c r="Z180" s="113"/>
      <c r="AA180" s="113"/>
      <c r="AB180" s="113"/>
      <c r="AC180" s="113"/>
      <c r="AD180" s="113"/>
      <c r="AE180" s="113"/>
      <c r="AF180" s="113"/>
      <c r="AG180" s="113"/>
      <c r="AH180" s="113"/>
      <c r="AI180" s="113"/>
      <c r="AJ180" s="113"/>
      <c r="AK180" s="113"/>
      <c r="AL180" s="113"/>
      <c r="AM180" s="113"/>
      <c r="AN180" s="113"/>
      <c r="AO180" s="113"/>
      <c r="AP180" s="113"/>
      <c r="AQ180" s="113"/>
      <c r="AR180" s="113"/>
      <c r="AS180" s="113"/>
      <c r="AT180" s="113"/>
      <c r="AU180" s="113"/>
      <c r="AV180" s="113"/>
      <c r="AW180" s="113"/>
      <c r="AX180" s="113"/>
      <c r="AY180" s="113"/>
      <c r="AZ180" s="113"/>
      <c r="BA180" s="113"/>
      <c r="BB180" s="113"/>
      <c r="BC180" s="113"/>
      <c r="BD180" s="113"/>
      <c r="BE180" s="113"/>
      <c r="BF180" s="113"/>
      <c r="BG180" s="113"/>
      <c r="BH180" s="113"/>
      <c r="BI180" s="113"/>
      <c r="BJ180" s="113"/>
    </row>
    <row r="181" spans="1:62" x14ac:dyDescent="0.2">
      <c r="A181" s="113"/>
      <c r="B181" s="113"/>
      <c r="C181" s="114"/>
      <c r="D181" s="113"/>
      <c r="E181" s="113"/>
      <c r="F181" s="113"/>
      <c r="G181" s="113"/>
      <c r="H181" s="113"/>
      <c r="I181" s="113"/>
      <c r="J181" s="113"/>
      <c r="K181" s="113"/>
      <c r="L181" s="113"/>
      <c r="M181" s="113"/>
      <c r="N181" s="113"/>
      <c r="O181" s="113"/>
      <c r="P181" s="113"/>
      <c r="Q181" s="113"/>
      <c r="R181" s="113"/>
      <c r="S181" s="113"/>
      <c r="T181" s="113"/>
      <c r="U181" s="113"/>
      <c r="V181" s="113"/>
      <c r="W181" s="113"/>
      <c r="X181" s="113"/>
      <c r="Y181" s="113"/>
      <c r="Z181" s="113"/>
      <c r="AA181" s="113"/>
      <c r="AB181" s="113"/>
      <c r="AC181" s="113"/>
      <c r="AD181" s="113"/>
      <c r="AE181" s="113"/>
      <c r="AF181" s="113"/>
      <c r="AG181" s="113"/>
      <c r="AH181" s="113"/>
      <c r="AI181" s="113"/>
      <c r="AJ181" s="113"/>
      <c r="AK181" s="113"/>
      <c r="AL181" s="113"/>
      <c r="AM181" s="113"/>
      <c r="AN181" s="113"/>
      <c r="AO181" s="113"/>
      <c r="AP181" s="113"/>
      <c r="AQ181" s="113"/>
      <c r="AR181" s="113"/>
      <c r="AS181" s="113"/>
      <c r="AT181" s="113"/>
      <c r="AU181" s="113"/>
      <c r="AV181" s="113"/>
      <c r="AW181" s="113"/>
      <c r="AX181" s="113"/>
      <c r="AY181" s="113"/>
      <c r="AZ181" s="113"/>
      <c r="BA181" s="113"/>
      <c r="BB181" s="113"/>
      <c r="BC181" s="113"/>
      <c r="BD181" s="113"/>
      <c r="BE181" s="113"/>
      <c r="BF181" s="113"/>
      <c r="BG181" s="113"/>
      <c r="BH181" s="113"/>
      <c r="BI181" s="113"/>
      <c r="BJ181" s="113"/>
    </row>
    <row r="182" spans="1:62" x14ac:dyDescent="0.2">
      <c r="A182" s="113"/>
      <c r="B182" s="113"/>
      <c r="C182" s="114"/>
      <c r="D182" s="113"/>
      <c r="E182" s="113"/>
      <c r="F182" s="113"/>
      <c r="G182" s="113"/>
      <c r="H182" s="113"/>
      <c r="I182" s="113"/>
      <c r="J182" s="113"/>
      <c r="K182" s="113"/>
      <c r="L182" s="113"/>
      <c r="M182" s="113"/>
      <c r="N182" s="113"/>
      <c r="O182" s="113"/>
      <c r="P182" s="113"/>
      <c r="Q182" s="113"/>
      <c r="R182" s="113"/>
      <c r="S182" s="113"/>
      <c r="T182" s="113"/>
      <c r="U182" s="113"/>
      <c r="V182" s="113"/>
      <c r="W182" s="113"/>
      <c r="X182" s="113"/>
      <c r="Y182" s="113"/>
      <c r="Z182" s="113"/>
      <c r="AA182" s="113"/>
      <c r="AB182" s="113"/>
      <c r="AC182" s="113"/>
      <c r="AD182" s="113"/>
      <c r="AE182" s="113"/>
      <c r="AF182" s="113"/>
      <c r="AG182" s="113"/>
      <c r="AH182" s="113"/>
      <c r="AI182" s="113"/>
      <c r="AJ182" s="113"/>
      <c r="AK182" s="113"/>
      <c r="AL182" s="113"/>
      <c r="AM182" s="113"/>
      <c r="AN182" s="113"/>
      <c r="AO182" s="113"/>
      <c r="AP182" s="113"/>
      <c r="AQ182" s="113"/>
      <c r="AR182" s="113"/>
      <c r="AS182" s="113"/>
      <c r="AT182" s="113"/>
      <c r="AU182" s="113"/>
      <c r="AV182" s="113"/>
      <c r="AW182" s="113"/>
      <c r="AX182" s="113"/>
      <c r="AY182" s="113"/>
      <c r="AZ182" s="113"/>
      <c r="BA182" s="113"/>
      <c r="BB182" s="113"/>
      <c r="BC182" s="113"/>
      <c r="BD182" s="113"/>
      <c r="BE182" s="113"/>
      <c r="BF182" s="113"/>
      <c r="BG182" s="113"/>
      <c r="BH182" s="113"/>
      <c r="BI182" s="113"/>
      <c r="BJ182" s="113"/>
    </row>
    <row r="183" spans="1:62" x14ac:dyDescent="0.2">
      <c r="A183" s="113"/>
      <c r="B183" s="113"/>
      <c r="C183" s="114"/>
      <c r="D183" s="113"/>
      <c r="E183" s="113"/>
      <c r="F183" s="113"/>
      <c r="G183" s="113"/>
      <c r="H183" s="113"/>
      <c r="I183" s="113"/>
      <c r="J183" s="113"/>
      <c r="K183" s="113"/>
      <c r="L183" s="113"/>
      <c r="M183" s="113"/>
      <c r="N183" s="113"/>
      <c r="O183" s="113"/>
      <c r="P183" s="113"/>
      <c r="Q183" s="113"/>
      <c r="R183" s="113"/>
      <c r="S183" s="113"/>
      <c r="T183" s="113"/>
      <c r="U183" s="113"/>
      <c r="V183" s="113"/>
      <c r="W183" s="113"/>
      <c r="X183" s="113"/>
      <c r="Y183" s="113"/>
      <c r="Z183" s="113"/>
      <c r="AA183" s="113"/>
      <c r="AB183" s="113"/>
      <c r="AC183" s="113"/>
      <c r="AD183" s="113"/>
      <c r="AE183" s="113"/>
      <c r="AF183" s="113"/>
      <c r="AG183" s="113"/>
      <c r="AH183" s="113"/>
      <c r="AI183" s="113"/>
      <c r="AJ183" s="113"/>
      <c r="AK183" s="113"/>
      <c r="AL183" s="113"/>
      <c r="AM183" s="113"/>
      <c r="AN183" s="113"/>
      <c r="AO183" s="113"/>
      <c r="AP183" s="113"/>
      <c r="AQ183" s="113"/>
      <c r="AR183" s="113"/>
      <c r="AS183" s="113"/>
      <c r="AT183" s="113"/>
      <c r="AU183" s="113"/>
      <c r="AV183" s="113"/>
      <c r="AW183" s="113"/>
      <c r="AX183" s="113"/>
      <c r="AY183" s="113"/>
      <c r="AZ183" s="113"/>
      <c r="BA183" s="113"/>
      <c r="BB183" s="113"/>
      <c r="BC183" s="113"/>
      <c r="BD183" s="113"/>
      <c r="BE183" s="113"/>
      <c r="BF183" s="113"/>
      <c r="BG183" s="113"/>
      <c r="BH183" s="113"/>
      <c r="BI183" s="113"/>
      <c r="BJ183" s="113"/>
    </row>
    <row r="184" spans="1:62" x14ac:dyDescent="0.2">
      <c r="A184" s="113"/>
      <c r="B184" s="113"/>
      <c r="C184" s="114"/>
      <c r="D184" s="113"/>
      <c r="E184" s="113"/>
      <c r="F184" s="113"/>
      <c r="G184" s="113"/>
      <c r="H184" s="113"/>
      <c r="I184" s="113"/>
      <c r="J184" s="113"/>
      <c r="K184" s="113"/>
      <c r="L184" s="113"/>
      <c r="M184" s="113"/>
      <c r="N184" s="113"/>
      <c r="O184" s="113"/>
      <c r="P184" s="113"/>
      <c r="Q184" s="113"/>
      <c r="R184" s="113"/>
      <c r="S184" s="113"/>
      <c r="T184" s="113"/>
      <c r="U184" s="113"/>
      <c r="V184" s="113"/>
      <c r="W184" s="113"/>
      <c r="X184" s="113"/>
      <c r="Y184" s="113"/>
      <c r="Z184" s="113"/>
      <c r="AA184" s="113"/>
      <c r="AB184" s="113"/>
      <c r="AC184" s="113"/>
      <c r="AD184" s="113"/>
      <c r="AE184" s="113"/>
      <c r="AF184" s="113"/>
      <c r="AG184" s="113"/>
      <c r="AH184" s="113"/>
      <c r="AI184" s="113"/>
      <c r="AJ184" s="113"/>
      <c r="AK184" s="113"/>
      <c r="AL184" s="113"/>
      <c r="AM184" s="113"/>
      <c r="AN184" s="113"/>
      <c r="AO184" s="113"/>
      <c r="AP184" s="113"/>
      <c r="AQ184" s="113"/>
      <c r="AR184" s="113"/>
      <c r="AS184" s="113"/>
      <c r="AT184" s="113"/>
      <c r="AU184" s="113"/>
      <c r="AV184" s="113"/>
      <c r="AW184" s="113"/>
      <c r="AX184" s="113"/>
      <c r="AY184" s="113"/>
      <c r="AZ184" s="113"/>
      <c r="BA184" s="113"/>
      <c r="BB184" s="113"/>
      <c r="BC184" s="113"/>
      <c r="BD184" s="113"/>
      <c r="BE184" s="113"/>
      <c r="BF184" s="113"/>
      <c r="BG184" s="113"/>
      <c r="BH184" s="113"/>
      <c r="BI184" s="113"/>
      <c r="BJ184" s="113"/>
    </row>
    <row r="185" spans="1:62" x14ac:dyDescent="0.2">
      <c r="A185" s="113"/>
      <c r="B185" s="113"/>
      <c r="C185" s="114"/>
      <c r="D185" s="113"/>
      <c r="E185" s="113"/>
      <c r="F185" s="113"/>
      <c r="G185" s="113"/>
      <c r="H185" s="113"/>
      <c r="I185" s="113"/>
      <c r="J185" s="113"/>
      <c r="K185" s="113"/>
      <c r="L185" s="113"/>
      <c r="M185" s="113"/>
      <c r="N185" s="113"/>
      <c r="O185" s="113"/>
      <c r="P185" s="113"/>
      <c r="Q185" s="113"/>
      <c r="R185" s="113"/>
      <c r="S185" s="113"/>
      <c r="T185" s="113"/>
      <c r="U185" s="113"/>
      <c r="V185" s="113"/>
      <c r="W185" s="113"/>
      <c r="X185" s="113"/>
      <c r="Y185" s="113"/>
      <c r="Z185" s="113"/>
      <c r="AA185" s="113"/>
      <c r="AB185" s="113"/>
      <c r="AC185" s="113"/>
      <c r="AD185" s="113"/>
      <c r="AE185" s="113"/>
      <c r="AF185" s="113"/>
      <c r="AG185" s="113"/>
      <c r="AH185" s="113"/>
      <c r="AI185" s="113"/>
      <c r="AJ185" s="113"/>
      <c r="AK185" s="113"/>
      <c r="AL185" s="113"/>
      <c r="AM185" s="113"/>
      <c r="AN185" s="113"/>
      <c r="AO185" s="113"/>
      <c r="AP185" s="113"/>
      <c r="AQ185" s="113"/>
      <c r="AR185" s="113"/>
      <c r="AS185" s="113"/>
      <c r="AT185" s="113"/>
      <c r="AU185" s="113"/>
      <c r="AV185" s="113"/>
      <c r="AW185" s="113"/>
      <c r="AX185" s="113"/>
      <c r="AY185" s="113"/>
      <c r="AZ185" s="113"/>
      <c r="BA185" s="113"/>
      <c r="BB185" s="113"/>
      <c r="BC185" s="113"/>
      <c r="BD185" s="113"/>
      <c r="BE185" s="113"/>
      <c r="BF185" s="113"/>
      <c r="BG185" s="113"/>
      <c r="BH185" s="113"/>
      <c r="BI185" s="113"/>
      <c r="BJ185" s="113"/>
    </row>
    <row r="186" spans="1:62" x14ac:dyDescent="0.2">
      <c r="A186" s="113"/>
      <c r="B186" s="113"/>
      <c r="C186" s="114"/>
      <c r="D186" s="113"/>
      <c r="E186" s="113"/>
      <c r="F186" s="113"/>
      <c r="G186" s="113"/>
      <c r="H186" s="113"/>
      <c r="I186" s="113"/>
      <c r="J186" s="113"/>
      <c r="K186" s="113"/>
      <c r="L186" s="113"/>
      <c r="M186" s="113"/>
      <c r="N186" s="113"/>
      <c r="O186" s="113"/>
      <c r="P186" s="113"/>
      <c r="Q186" s="113"/>
      <c r="R186" s="113"/>
      <c r="S186" s="113"/>
      <c r="T186" s="113"/>
      <c r="U186" s="113"/>
      <c r="V186" s="113"/>
      <c r="W186" s="113"/>
      <c r="X186" s="113"/>
      <c r="Y186" s="113"/>
      <c r="Z186" s="113"/>
      <c r="AA186" s="113"/>
      <c r="AB186" s="113"/>
      <c r="AC186" s="113"/>
      <c r="AD186" s="113"/>
      <c r="AE186" s="113"/>
      <c r="AF186" s="113"/>
      <c r="AG186" s="113"/>
      <c r="AH186" s="113"/>
      <c r="AI186" s="113"/>
      <c r="AJ186" s="113"/>
      <c r="AK186" s="113"/>
      <c r="AL186" s="113"/>
      <c r="AM186" s="113"/>
      <c r="AN186" s="113"/>
      <c r="AO186" s="113"/>
      <c r="AP186" s="113"/>
      <c r="AQ186" s="113"/>
      <c r="AR186" s="113"/>
      <c r="AS186" s="113"/>
      <c r="AT186" s="113"/>
      <c r="AU186" s="113"/>
      <c r="AV186" s="113"/>
      <c r="AW186" s="113"/>
      <c r="AX186" s="113"/>
      <c r="AY186" s="113"/>
      <c r="AZ186" s="113"/>
      <c r="BA186" s="113"/>
      <c r="BB186" s="113"/>
      <c r="BC186" s="113"/>
      <c r="BD186" s="113"/>
      <c r="BE186" s="113"/>
      <c r="BF186" s="113"/>
      <c r="BG186" s="113"/>
      <c r="BH186" s="113"/>
      <c r="BI186" s="113"/>
      <c r="BJ186" s="113"/>
    </row>
  </sheetData>
  <phoneticPr fontId="13" type="noConversion"/>
  <printOptions horizontalCentered="1" verticalCentered="1"/>
  <pageMargins left="0.7" right="0.7" top="0.2" bottom="0.2" header="0.3" footer="0.3"/>
  <pageSetup paperSize="9" scale="18" orientation="landscape" horizontalDpi="0" verticalDpi="0"/>
  <headerFooter>
    <oddHeader>&amp;A</oddHead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12DCD-B05E-B849-B893-4F15FC671746}">
  <dimension ref="A2:AA32"/>
  <sheetViews>
    <sheetView showGridLines="0" zoomScale="117" workbookViewId="0">
      <selection activeCell="B9" sqref="B9"/>
    </sheetView>
  </sheetViews>
  <sheetFormatPr baseColWidth="10" defaultRowHeight="16" x14ac:dyDescent="0.2"/>
  <cols>
    <col min="1" max="1" width="10.83203125" style="75"/>
    <col min="2" max="2" width="7.5" style="76" customWidth="1"/>
    <col min="3" max="3" width="10.83203125" style="75"/>
    <col min="4" max="4" width="7.5" style="76" customWidth="1"/>
    <col min="5" max="5" width="10.33203125" style="75" customWidth="1"/>
    <col min="6" max="6" width="7.5" style="76" customWidth="1"/>
    <col min="7" max="7" width="10.33203125" style="75" customWidth="1"/>
    <col min="8" max="8" width="7.5" style="76" customWidth="1"/>
    <col min="9" max="9" width="10.33203125" style="75" customWidth="1"/>
    <col min="10" max="10" width="7.5" style="76" customWidth="1"/>
    <col min="11" max="11" width="10.33203125" style="75" customWidth="1"/>
    <col min="12" max="12" width="7.5" style="76" customWidth="1"/>
    <col min="13" max="13" width="10.33203125" style="75" customWidth="1"/>
    <col min="14" max="14" width="7.5" style="76" customWidth="1"/>
    <col min="15" max="15" width="10.33203125" style="75" customWidth="1"/>
    <col min="16" max="16" width="7.5" style="76" customWidth="1"/>
    <col min="17" max="17" width="10.33203125" style="75" customWidth="1"/>
    <col min="18" max="18" width="7.5" style="76" customWidth="1"/>
    <col min="19" max="19" width="10.33203125" style="75" customWidth="1"/>
    <col min="20" max="20" width="7.5" style="76" customWidth="1"/>
    <col min="21" max="21" width="10.33203125" style="75" customWidth="1"/>
    <col min="22" max="22" width="7.5" style="76" customWidth="1"/>
    <col min="23" max="23" width="10.33203125" style="75" customWidth="1"/>
    <col min="24" max="24" width="7.5" style="76" customWidth="1"/>
    <col min="25" max="25" width="10.33203125" style="75" customWidth="1"/>
    <col min="26" max="26" width="11.6640625" style="75" bestFit="1" customWidth="1"/>
    <col min="27" max="16384" width="10.83203125" style="75"/>
  </cols>
  <sheetData>
    <row r="2" spans="1:26" x14ac:dyDescent="0.2">
      <c r="B2" s="76" t="s">
        <v>93</v>
      </c>
      <c r="D2" s="90" t="s">
        <v>103</v>
      </c>
      <c r="E2" s="89">
        <v>65606.259999999995</v>
      </c>
    </row>
    <row r="3" spans="1:26" x14ac:dyDescent="0.2">
      <c r="B3" s="76" t="s">
        <v>94</v>
      </c>
      <c r="D3" s="90" t="s">
        <v>102</v>
      </c>
      <c r="E3" s="89">
        <v>51979.69</v>
      </c>
    </row>
    <row r="6" spans="1:26" x14ac:dyDescent="0.2">
      <c r="C6" s="75">
        <v>2023</v>
      </c>
    </row>
    <row r="7" spans="1:26" x14ac:dyDescent="0.2">
      <c r="B7" s="151">
        <v>1</v>
      </c>
      <c r="C7" s="151"/>
      <c r="D7" s="151">
        <v>2</v>
      </c>
      <c r="E7" s="151"/>
      <c r="F7" s="151">
        <v>3</v>
      </c>
      <c r="G7" s="151"/>
      <c r="H7" s="151">
        <v>4</v>
      </c>
      <c r="I7" s="151"/>
      <c r="J7" s="151">
        <v>5</v>
      </c>
      <c r="K7" s="151"/>
      <c r="L7" s="151">
        <v>6</v>
      </c>
      <c r="M7" s="151"/>
      <c r="N7" s="151">
        <v>7</v>
      </c>
      <c r="O7" s="151"/>
      <c r="P7" s="151">
        <v>8</v>
      </c>
      <c r="Q7" s="151"/>
      <c r="R7" s="151">
        <v>9</v>
      </c>
      <c r="S7" s="151"/>
      <c r="T7" s="151">
        <v>10</v>
      </c>
      <c r="U7" s="151"/>
      <c r="V7" s="151">
        <v>11</v>
      </c>
      <c r="W7" s="151"/>
      <c r="X7" s="151">
        <v>12</v>
      </c>
      <c r="Y7" s="151"/>
    </row>
    <row r="8" spans="1:26" s="82" customFormat="1" x14ac:dyDescent="0.2">
      <c r="A8" s="82" t="s">
        <v>84</v>
      </c>
      <c r="B8" s="87"/>
      <c r="C8" s="86"/>
      <c r="D8" s="87"/>
      <c r="E8" s="86"/>
      <c r="F8" s="87" t="s">
        <v>86</v>
      </c>
      <c r="G8" s="86">
        <v>330.39</v>
      </c>
      <c r="H8" s="87"/>
      <c r="I8" s="86"/>
      <c r="J8" s="87" t="s">
        <v>90</v>
      </c>
      <c r="K8" s="86">
        <v>137.66999999999999</v>
      </c>
      <c r="L8" s="87"/>
      <c r="M8" s="86"/>
      <c r="N8" s="87" t="s">
        <v>87</v>
      </c>
      <c r="O8" s="86">
        <v>4719.3599999999997</v>
      </c>
      <c r="P8" s="87" t="s">
        <v>91</v>
      </c>
      <c r="Q8" s="86">
        <v>1120.4000000000001</v>
      </c>
      <c r="R8" s="87"/>
      <c r="S8" s="86"/>
      <c r="T8" s="87" t="s">
        <v>89</v>
      </c>
      <c r="U8" s="86">
        <v>1230.06</v>
      </c>
      <c r="V8" s="87"/>
      <c r="W8" s="86"/>
      <c r="X8" s="87"/>
      <c r="Y8" s="86"/>
    </row>
    <row r="9" spans="1:26" s="82" customFormat="1" x14ac:dyDescent="0.2">
      <c r="A9" s="88"/>
      <c r="D9" s="87"/>
      <c r="E9" s="86"/>
      <c r="F9" s="87"/>
      <c r="G9" s="86"/>
      <c r="H9" s="87"/>
      <c r="I9" s="86"/>
      <c r="J9" s="87" t="s">
        <v>101</v>
      </c>
      <c r="K9" s="86"/>
      <c r="L9" s="87"/>
      <c r="M9" s="86"/>
      <c r="N9" s="87" t="s">
        <v>88</v>
      </c>
      <c r="O9" s="86">
        <v>135.97999999999999</v>
      </c>
      <c r="P9" s="87"/>
      <c r="Q9" s="86"/>
      <c r="R9" s="87"/>
      <c r="S9" s="86"/>
      <c r="T9" s="87"/>
      <c r="U9" s="86"/>
      <c r="V9" s="87"/>
      <c r="W9" s="86"/>
      <c r="X9" s="87"/>
      <c r="Y9" s="86"/>
    </row>
    <row r="10" spans="1:26" s="82" customFormat="1" x14ac:dyDescent="0.2">
      <c r="B10" s="87"/>
      <c r="C10" s="86"/>
      <c r="D10" s="87"/>
      <c r="E10" s="86"/>
      <c r="F10" s="87"/>
      <c r="G10" s="86"/>
      <c r="H10" s="87"/>
      <c r="I10" s="86"/>
      <c r="J10" s="87"/>
      <c r="K10" s="86"/>
      <c r="L10" s="87"/>
      <c r="M10" s="86"/>
      <c r="N10" s="87"/>
      <c r="O10" s="86"/>
      <c r="P10" s="87"/>
      <c r="Q10" s="86"/>
      <c r="R10" s="87"/>
      <c r="S10" s="86"/>
      <c r="T10" s="87"/>
      <c r="U10" s="86"/>
      <c r="V10" s="87"/>
      <c r="W10" s="86"/>
      <c r="X10" s="87"/>
      <c r="Y10" s="86"/>
    </row>
    <row r="11" spans="1:26" s="82" customFormat="1" x14ac:dyDescent="0.2">
      <c r="B11" s="87"/>
      <c r="C11" s="86"/>
      <c r="D11" s="87"/>
      <c r="E11" s="86"/>
      <c r="F11" s="87"/>
      <c r="G11" s="86"/>
      <c r="H11" s="87"/>
      <c r="I11" s="86"/>
      <c r="J11" s="87"/>
      <c r="K11" s="86"/>
      <c r="L11" s="87"/>
      <c r="M11" s="86"/>
      <c r="N11" s="87"/>
      <c r="O11" s="86"/>
      <c r="P11" s="87"/>
      <c r="Q11" s="86"/>
      <c r="R11" s="87"/>
      <c r="S11" s="86"/>
      <c r="T11" s="87"/>
      <c r="U11" s="86"/>
      <c r="V11" s="87"/>
      <c r="W11" s="86"/>
      <c r="X11" s="87"/>
      <c r="Y11" s="86"/>
    </row>
    <row r="12" spans="1:26" s="82" customFormat="1" x14ac:dyDescent="0.2">
      <c r="B12" s="87"/>
      <c r="C12" s="86"/>
      <c r="D12" s="87"/>
      <c r="E12" s="86"/>
      <c r="F12" s="87"/>
      <c r="G12" s="86"/>
      <c r="H12" s="87"/>
      <c r="I12" s="86"/>
      <c r="J12" s="87"/>
      <c r="K12" s="86"/>
      <c r="L12" s="87"/>
      <c r="M12" s="86"/>
      <c r="N12" s="87"/>
      <c r="O12" s="86"/>
      <c r="P12" s="87"/>
      <c r="Q12" s="86"/>
      <c r="R12" s="87"/>
      <c r="S12" s="86"/>
      <c r="T12" s="87"/>
      <c r="U12" s="86"/>
      <c r="V12" s="87"/>
      <c r="W12" s="86"/>
      <c r="X12" s="87"/>
      <c r="Y12" s="86"/>
    </row>
    <row r="13" spans="1:26" s="82" customFormat="1" x14ac:dyDescent="0.2">
      <c r="B13" s="87"/>
      <c r="C13" s="86"/>
      <c r="D13" s="87"/>
      <c r="E13" s="86"/>
      <c r="F13" s="87"/>
      <c r="G13" s="86"/>
      <c r="H13" s="87"/>
      <c r="I13" s="86"/>
      <c r="J13" s="87"/>
      <c r="K13" s="86"/>
      <c r="L13" s="87"/>
      <c r="M13" s="86"/>
      <c r="N13" s="87"/>
      <c r="O13" s="86"/>
      <c r="P13" s="87"/>
      <c r="Q13" s="86"/>
      <c r="R13" s="87"/>
      <c r="S13" s="86"/>
      <c r="T13" s="87"/>
      <c r="U13" s="86"/>
      <c r="V13" s="87"/>
      <c r="W13" s="86"/>
      <c r="X13" s="87"/>
      <c r="Y13" s="86"/>
    </row>
    <row r="14" spans="1:26" s="82" customFormat="1" x14ac:dyDescent="0.2">
      <c r="B14" s="87"/>
      <c r="C14" s="86"/>
      <c r="D14" s="87"/>
      <c r="E14" s="86"/>
      <c r="F14" s="87"/>
      <c r="G14" s="86"/>
      <c r="H14" s="87"/>
      <c r="I14" s="86"/>
      <c r="J14" s="87"/>
      <c r="K14" s="86"/>
      <c r="L14" s="87"/>
      <c r="M14" s="86"/>
      <c r="N14" s="87"/>
      <c r="O14" s="86"/>
      <c r="P14" s="87"/>
      <c r="Q14" s="86"/>
      <c r="R14" s="87"/>
      <c r="S14" s="86"/>
      <c r="T14" s="87"/>
      <c r="U14" s="86"/>
      <c r="V14" s="87"/>
      <c r="W14" s="86"/>
      <c r="X14" s="87"/>
      <c r="Y14" s="86"/>
    </row>
    <row r="15" spans="1:26" s="82" customFormat="1" x14ac:dyDescent="0.2">
      <c r="B15" s="85"/>
      <c r="C15" s="84">
        <f>SUM(C8:C14)</f>
        <v>0</v>
      </c>
      <c r="D15" s="85"/>
      <c r="E15" s="84">
        <f>SUM(E8:E14)</f>
        <v>0</v>
      </c>
      <c r="F15" s="85"/>
      <c r="G15" s="84">
        <f>SUM(G8:G14)</f>
        <v>330.39</v>
      </c>
      <c r="H15" s="85"/>
      <c r="I15" s="84">
        <f>SUM(I8:I14)</f>
        <v>0</v>
      </c>
      <c r="J15" s="85"/>
      <c r="K15" s="84">
        <f>SUM(K8:K14)</f>
        <v>137.66999999999999</v>
      </c>
      <c r="L15" s="85"/>
      <c r="M15" s="84">
        <f>SUM(M8:M14)</f>
        <v>0</v>
      </c>
      <c r="N15" s="85"/>
      <c r="O15" s="84">
        <f>SUM(O8:O14)</f>
        <v>4855.3399999999992</v>
      </c>
      <c r="P15" s="85"/>
      <c r="Q15" s="84">
        <f>SUM(Q8:Q14)</f>
        <v>1120.4000000000001</v>
      </c>
      <c r="R15" s="85"/>
      <c r="S15" s="84">
        <f>SUM(S8:S14)</f>
        <v>0</v>
      </c>
      <c r="T15" s="85"/>
      <c r="U15" s="84">
        <f>SUM(U8:U14)</f>
        <v>1230.06</v>
      </c>
      <c r="V15" s="85"/>
      <c r="W15" s="84">
        <f>SUM(W8:W14)</f>
        <v>0</v>
      </c>
      <c r="X15" s="85"/>
      <c r="Y15" s="84">
        <f>SUM(Y8:Y14)</f>
        <v>0</v>
      </c>
      <c r="Z15" s="83">
        <f>SUM(B15:Y15)</f>
        <v>7673.8599999999988</v>
      </c>
    </row>
    <row r="19" spans="1:27" x14ac:dyDescent="0.2">
      <c r="B19" s="151">
        <v>1</v>
      </c>
      <c r="C19" s="151"/>
      <c r="D19" s="151">
        <v>2</v>
      </c>
      <c r="E19" s="151"/>
      <c r="F19" s="151">
        <v>3</v>
      </c>
      <c r="G19" s="151"/>
      <c r="H19" s="151">
        <v>4</v>
      </c>
      <c r="I19" s="151"/>
      <c r="J19" s="151">
        <v>5</v>
      </c>
      <c r="K19" s="151"/>
      <c r="L19" s="151">
        <v>6</v>
      </c>
      <c r="M19" s="151"/>
      <c r="N19" s="151">
        <v>7</v>
      </c>
      <c r="O19" s="151"/>
      <c r="P19" s="151">
        <v>8</v>
      </c>
      <c r="Q19" s="151"/>
      <c r="R19" s="151">
        <v>9</v>
      </c>
      <c r="S19" s="151"/>
      <c r="T19" s="151">
        <v>10</v>
      </c>
      <c r="U19" s="151"/>
      <c r="V19" s="151">
        <v>11</v>
      </c>
      <c r="W19" s="151"/>
      <c r="X19" s="151">
        <v>12</v>
      </c>
      <c r="Y19" s="151"/>
    </row>
    <row r="20" spans="1:27" s="82" customFormat="1" x14ac:dyDescent="0.2">
      <c r="A20" s="82" t="s">
        <v>80</v>
      </c>
      <c r="B20" s="87" t="s">
        <v>97</v>
      </c>
      <c r="C20" s="86">
        <v>1258.07</v>
      </c>
      <c r="D20" s="87"/>
      <c r="E20" s="86"/>
      <c r="F20" s="87" t="s">
        <v>92</v>
      </c>
      <c r="G20" s="86">
        <v>582.24</v>
      </c>
      <c r="H20" s="87"/>
      <c r="I20" s="86"/>
      <c r="J20" s="87"/>
      <c r="K20" s="86"/>
      <c r="L20" s="87"/>
      <c r="M20" s="86"/>
      <c r="N20" s="87"/>
      <c r="O20" s="86"/>
      <c r="P20" s="87"/>
      <c r="Q20" s="86"/>
      <c r="R20" s="87" t="s">
        <v>96</v>
      </c>
      <c r="S20" s="86">
        <v>427.37</v>
      </c>
      <c r="T20" s="87"/>
      <c r="U20" s="86"/>
      <c r="V20" s="87"/>
      <c r="W20" s="86"/>
      <c r="X20" s="87" t="s">
        <v>95</v>
      </c>
      <c r="Y20" s="86">
        <v>440.41</v>
      </c>
    </row>
    <row r="21" spans="1:27" s="82" customFormat="1" x14ac:dyDescent="0.2">
      <c r="B21" s="87" t="s">
        <v>85</v>
      </c>
      <c r="C21" s="86">
        <v>439.08</v>
      </c>
      <c r="D21" s="87"/>
      <c r="E21" s="86"/>
      <c r="F21" s="87" t="s">
        <v>98</v>
      </c>
      <c r="G21" s="86">
        <v>264.23</v>
      </c>
      <c r="H21" s="87"/>
      <c r="I21" s="86"/>
      <c r="J21" s="87"/>
      <c r="K21" s="86"/>
      <c r="L21" s="87"/>
      <c r="M21" s="86"/>
      <c r="N21" s="87"/>
      <c r="O21" s="86"/>
      <c r="P21" s="87"/>
      <c r="Q21" s="86"/>
      <c r="R21" s="87"/>
      <c r="S21" s="86"/>
      <c r="T21" s="87"/>
      <c r="U21" s="86"/>
      <c r="V21" s="87"/>
      <c r="W21" s="86"/>
      <c r="X21" s="87"/>
      <c r="Y21" s="86"/>
    </row>
    <row r="22" spans="1:27" s="82" customFormat="1" x14ac:dyDescent="0.2">
      <c r="B22" s="87"/>
      <c r="C22" s="86"/>
      <c r="D22" s="87"/>
      <c r="E22" s="86"/>
      <c r="F22" s="87"/>
      <c r="G22" s="86"/>
      <c r="H22" s="87"/>
      <c r="I22" s="86"/>
      <c r="J22" s="87"/>
      <c r="K22" s="86"/>
      <c r="L22" s="87"/>
      <c r="M22" s="86"/>
      <c r="N22" s="87"/>
      <c r="O22" s="86"/>
      <c r="P22" s="87"/>
      <c r="Q22" s="86"/>
      <c r="R22" s="87"/>
      <c r="S22" s="86"/>
      <c r="T22" s="87"/>
      <c r="U22" s="86"/>
      <c r="V22" s="87"/>
      <c r="W22" s="86"/>
      <c r="X22" s="87"/>
      <c r="Y22" s="86"/>
    </row>
    <row r="23" spans="1:27" s="82" customFormat="1" x14ac:dyDescent="0.2">
      <c r="B23" s="87"/>
      <c r="C23" s="86"/>
      <c r="D23" s="87"/>
      <c r="E23" s="86"/>
      <c r="F23" s="87"/>
      <c r="G23" s="86"/>
      <c r="H23" s="87"/>
      <c r="I23" s="86"/>
      <c r="J23" s="87"/>
      <c r="K23" s="86"/>
      <c r="L23" s="87"/>
      <c r="M23" s="86"/>
      <c r="N23" s="87"/>
      <c r="O23" s="86"/>
      <c r="P23" s="87"/>
      <c r="Q23" s="86"/>
      <c r="R23" s="87"/>
      <c r="S23" s="86"/>
      <c r="T23" s="87"/>
      <c r="U23" s="86"/>
      <c r="V23" s="87"/>
      <c r="W23" s="86"/>
      <c r="X23" s="87"/>
      <c r="Y23" s="86"/>
    </row>
    <row r="24" spans="1:27" s="82" customFormat="1" x14ac:dyDescent="0.2">
      <c r="B24" s="87"/>
      <c r="C24" s="86"/>
      <c r="D24" s="87"/>
      <c r="E24" s="86"/>
      <c r="F24" s="87"/>
      <c r="G24" s="86"/>
      <c r="H24" s="87"/>
      <c r="I24" s="86"/>
      <c r="J24" s="87"/>
      <c r="K24" s="86"/>
      <c r="L24" s="87"/>
      <c r="M24" s="86"/>
      <c r="N24" s="87"/>
      <c r="O24" s="86"/>
      <c r="P24" s="87"/>
      <c r="Q24" s="86"/>
      <c r="R24" s="87"/>
      <c r="S24" s="86"/>
      <c r="T24" s="87"/>
      <c r="U24" s="86"/>
      <c r="V24" s="87"/>
      <c r="W24" s="86"/>
      <c r="X24" s="87"/>
      <c r="Y24" s="86"/>
    </row>
    <row r="25" spans="1:27" s="82" customFormat="1" x14ac:dyDescent="0.2">
      <c r="B25" s="87"/>
      <c r="C25" s="86"/>
      <c r="D25" s="87"/>
      <c r="E25" s="86"/>
      <c r="F25" s="87"/>
      <c r="G25" s="86"/>
      <c r="H25" s="87"/>
      <c r="I25" s="86"/>
      <c r="J25" s="87"/>
      <c r="K25" s="86"/>
      <c r="L25" s="87"/>
      <c r="M25" s="86"/>
      <c r="N25" s="87"/>
      <c r="O25" s="86"/>
      <c r="P25" s="87"/>
      <c r="Q25" s="86"/>
      <c r="R25" s="87"/>
      <c r="S25" s="86"/>
      <c r="T25" s="87"/>
      <c r="U25" s="86"/>
      <c r="V25" s="87"/>
      <c r="W25" s="86"/>
      <c r="X25" s="87"/>
      <c r="Y25" s="86"/>
    </row>
    <row r="26" spans="1:27" s="82" customFormat="1" x14ac:dyDescent="0.2">
      <c r="B26" s="87"/>
      <c r="C26" s="86"/>
      <c r="D26" s="87"/>
      <c r="E26" s="86"/>
      <c r="F26" s="87"/>
      <c r="G26" s="86"/>
      <c r="H26" s="87"/>
      <c r="I26" s="86"/>
      <c r="J26" s="87"/>
      <c r="K26" s="86"/>
      <c r="L26" s="87"/>
      <c r="M26" s="86"/>
      <c r="N26" s="87"/>
      <c r="O26" s="86"/>
      <c r="P26" s="87"/>
      <c r="Q26" s="86"/>
      <c r="R26" s="87"/>
      <c r="S26" s="86"/>
      <c r="T26" s="87"/>
      <c r="U26" s="86"/>
      <c r="V26" s="87"/>
      <c r="W26" s="86"/>
      <c r="X26" s="87"/>
      <c r="Y26" s="86"/>
    </row>
    <row r="27" spans="1:27" s="82" customFormat="1" x14ac:dyDescent="0.2">
      <c r="B27" s="85"/>
      <c r="C27" s="84">
        <f>SUM(C20:C26)</f>
        <v>1697.1499999999999</v>
      </c>
      <c r="D27" s="85"/>
      <c r="E27" s="84">
        <f>SUM(E20:E26)</f>
        <v>0</v>
      </c>
      <c r="F27" s="85"/>
      <c r="G27" s="84">
        <f>SUM(G20:G26)</f>
        <v>846.47</v>
      </c>
      <c r="H27" s="85"/>
      <c r="I27" s="84">
        <f>SUM(I20:I26)</f>
        <v>0</v>
      </c>
      <c r="J27" s="85"/>
      <c r="K27" s="84">
        <f>SUM(K20:K26)</f>
        <v>0</v>
      </c>
      <c r="L27" s="85"/>
      <c r="M27" s="84">
        <f>SUM(M20:M26)</f>
        <v>0</v>
      </c>
      <c r="N27" s="85"/>
      <c r="O27" s="84">
        <f>SUM(O20:O26)</f>
        <v>0</v>
      </c>
      <c r="P27" s="85"/>
      <c r="Q27" s="84">
        <f>SUM(Q20:Q26)</f>
        <v>0</v>
      </c>
      <c r="R27" s="85"/>
      <c r="S27" s="84">
        <f>SUM(S20:S26)</f>
        <v>427.37</v>
      </c>
      <c r="T27" s="85"/>
      <c r="U27" s="84">
        <f>SUM(U20:U26)</f>
        <v>0</v>
      </c>
      <c r="V27" s="85"/>
      <c r="W27" s="84">
        <f>SUM(W20:W26)</f>
        <v>0</v>
      </c>
      <c r="X27" s="85"/>
      <c r="Y27" s="84">
        <f>SUM(Y20:Y26)</f>
        <v>440.41</v>
      </c>
      <c r="Z27" s="83">
        <f>SUM(B27:Y27)</f>
        <v>3411.3999999999996</v>
      </c>
    </row>
    <row r="31" spans="1:27" ht="23" x14ac:dyDescent="0.2">
      <c r="Y31" s="81" t="s">
        <v>100</v>
      </c>
      <c r="Z31" s="80">
        <f>Z15-Z27</f>
        <v>4262.4599999999991</v>
      </c>
    </row>
    <row r="32" spans="1:27" x14ac:dyDescent="0.2">
      <c r="Y32" s="79" t="s">
        <v>99</v>
      </c>
      <c r="Z32" s="78">
        <f>$E$3+Z$31</f>
        <v>56242.15</v>
      </c>
      <c r="AA32" s="77">
        <f>Z$32/$E$2</f>
        <v>0.85726804118997191</v>
      </c>
    </row>
  </sheetData>
  <mergeCells count="24">
    <mergeCell ref="V7:W7"/>
    <mergeCell ref="X7:Y7"/>
    <mergeCell ref="B19:C19"/>
    <mergeCell ref="D19:E19"/>
    <mergeCell ref="F19:G19"/>
    <mergeCell ref="H19:I19"/>
    <mergeCell ref="J19:K19"/>
    <mergeCell ref="L19:M19"/>
    <mergeCell ref="N19:O19"/>
    <mergeCell ref="P19:Q19"/>
    <mergeCell ref="R19:S19"/>
    <mergeCell ref="T19:U19"/>
    <mergeCell ref="V19:W19"/>
    <mergeCell ref="X19:Y19"/>
    <mergeCell ref="L7:M7"/>
    <mergeCell ref="N7:O7"/>
    <mergeCell ref="P7:Q7"/>
    <mergeCell ref="R7:S7"/>
    <mergeCell ref="T7:U7"/>
    <mergeCell ref="B7:C7"/>
    <mergeCell ref="D7:E7"/>
    <mergeCell ref="F7:G7"/>
    <mergeCell ref="H7:I7"/>
    <mergeCell ref="J7:K7"/>
  </mergeCells>
  <pageMargins left="0.7" right="0.7" top="0.75" bottom="0.75" header="0.3" footer="0.3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B429D-3330-E149-8349-7722C11EEA82}">
  <sheetPr>
    <pageSetUpPr fitToPage="1"/>
  </sheetPr>
  <dimension ref="B2:R45"/>
  <sheetViews>
    <sheetView showGridLines="0" zoomScaleNormal="100" workbookViewId="0">
      <selection activeCell="Q8" sqref="Q8"/>
    </sheetView>
  </sheetViews>
  <sheetFormatPr baseColWidth="10" defaultColWidth="8.83203125" defaultRowHeight="16" x14ac:dyDescent="0.2"/>
  <cols>
    <col min="1" max="1" width="8.83203125" style="1"/>
    <col min="2" max="2" width="19.33203125" style="1" bestFit="1" customWidth="1"/>
    <col min="3" max="17" width="15.5" style="1" customWidth="1"/>
    <col min="18" max="16384" width="8.83203125" style="1"/>
  </cols>
  <sheetData>
    <row r="2" spans="2:18" x14ac:dyDescent="0.2">
      <c r="E2" s="33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</row>
    <row r="3" spans="2:18" ht="20" customHeight="1" thickBot="1" x14ac:dyDescent="0.25">
      <c r="B3" s="35" t="s">
        <v>46</v>
      </c>
      <c r="C3" s="35" t="s">
        <v>57</v>
      </c>
      <c r="D3" s="35" t="s">
        <v>58</v>
      </c>
      <c r="E3" s="35" t="s">
        <v>59</v>
      </c>
      <c r="F3" s="35" t="s">
        <v>45</v>
      </c>
      <c r="G3" s="35" t="s">
        <v>9</v>
      </c>
      <c r="H3" s="35" t="s">
        <v>10</v>
      </c>
      <c r="I3" s="35" t="s">
        <v>11</v>
      </c>
      <c r="J3" s="35" t="s">
        <v>12</v>
      </c>
      <c r="K3" s="35" t="s">
        <v>13</v>
      </c>
      <c r="L3" s="35" t="s">
        <v>14</v>
      </c>
      <c r="M3" s="35" t="s">
        <v>15</v>
      </c>
      <c r="N3" s="35" t="s">
        <v>16</v>
      </c>
      <c r="O3" s="35" t="s">
        <v>17</v>
      </c>
      <c r="P3" s="35" t="s">
        <v>18</v>
      </c>
      <c r="Q3" s="35" t="s">
        <v>111</v>
      </c>
    </row>
    <row r="4" spans="2:18" ht="20" customHeight="1" x14ac:dyDescent="0.2">
      <c r="B4" s="1" t="s">
        <v>0</v>
      </c>
      <c r="C4" s="8">
        <f>$C$9</f>
        <v>7382584356</v>
      </c>
      <c r="D4" s="8">
        <f t="shared" ref="D4:E4" si="0">$C$9</f>
        <v>7382584356</v>
      </c>
      <c r="E4" s="8">
        <f t="shared" si="0"/>
        <v>7382584356</v>
      </c>
      <c r="F4" s="8">
        <f>$C$13</f>
        <v>8199964357.2000008</v>
      </c>
      <c r="G4" s="8">
        <f t="shared" ref="G4:Q4" si="1">$C$17</f>
        <v>9017344357.2000008</v>
      </c>
      <c r="H4" s="8">
        <f t="shared" si="1"/>
        <v>9017344357.2000008</v>
      </c>
      <c r="I4" s="8">
        <f t="shared" si="1"/>
        <v>9017344357.2000008</v>
      </c>
      <c r="J4" s="8">
        <f t="shared" si="1"/>
        <v>9017344357.2000008</v>
      </c>
      <c r="K4" s="8">
        <f t="shared" si="1"/>
        <v>9017344357.2000008</v>
      </c>
      <c r="L4" s="8">
        <f t="shared" si="1"/>
        <v>9017344357.2000008</v>
      </c>
      <c r="M4" s="8">
        <f t="shared" si="1"/>
        <v>9017344357.2000008</v>
      </c>
      <c r="N4" s="8">
        <f t="shared" si="1"/>
        <v>9017344357.2000008</v>
      </c>
      <c r="O4" s="8">
        <f t="shared" si="1"/>
        <v>9017344357.2000008</v>
      </c>
      <c r="P4" s="8">
        <f t="shared" si="1"/>
        <v>9017344357.2000008</v>
      </c>
      <c r="Q4" s="8">
        <f t="shared" si="1"/>
        <v>9017344357.2000008</v>
      </c>
      <c r="R4" s="31"/>
    </row>
    <row r="5" spans="2:18" ht="20" customHeight="1" thickBot="1" x14ac:dyDescent="0.25">
      <c r="B5" s="1" t="s">
        <v>76</v>
      </c>
      <c r="C5" s="8"/>
      <c r="D5" s="37">
        <v>0</v>
      </c>
      <c r="E5" s="37">
        <v>0</v>
      </c>
      <c r="F5" s="37">
        <v>0</v>
      </c>
      <c r="G5" s="37">
        <f>G4-F4</f>
        <v>817380000</v>
      </c>
      <c r="H5" s="37">
        <v>0</v>
      </c>
      <c r="I5" s="37">
        <v>0</v>
      </c>
      <c r="J5" s="37">
        <v>0</v>
      </c>
      <c r="K5" s="37">
        <v>0</v>
      </c>
      <c r="L5" s="37">
        <v>0</v>
      </c>
      <c r="M5" s="37">
        <v>0</v>
      </c>
      <c r="N5" s="37">
        <v>0</v>
      </c>
      <c r="O5" s="37">
        <v>0</v>
      </c>
      <c r="P5" s="37">
        <v>0</v>
      </c>
      <c r="Q5" s="37">
        <v>0</v>
      </c>
      <c r="R5" s="32"/>
    </row>
    <row r="6" spans="2:18" x14ac:dyDescent="0.2"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</row>
    <row r="7" spans="2:18" x14ac:dyDescent="0.2">
      <c r="B7" s="44" t="s">
        <v>83</v>
      </c>
    </row>
    <row r="8" spans="2:18" x14ac:dyDescent="0.2">
      <c r="B8" s="33" t="s">
        <v>77</v>
      </c>
      <c r="C8" s="8">
        <v>615215363</v>
      </c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</row>
    <row r="9" spans="2:18" x14ac:dyDescent="0.2">
      <c r="B9" s="33" t="s">
        <v>62</v>
      </c>
      <c r="C9" s="8">
        <f>C8*12</f>
        <v>7382584356</v>
      </c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</row>
    <row r="10" spans="2:18" x14ac:dyDescent="0.2"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</row>
    <row r="11" spans="2:18" x14ac:dyDescent="0.2">
      <c r="B11" s="38">
        <v>2022</v>
      </c>
    </row>
    <row r="12" spans="2:18" x14ac:dyDescent="0.2">
      <c r="B12" s="33" t="s">
        <v>77</v>
      </c>
      <c r="C12" s="8">
        <f>(751445363.1+615215363.1)/2</f>
        <v>683330363.10000002</v>
      </c>
    </row>
    <row r="13" spans="2:18" x14ac:dyDescent="0.2">
      <c r="B13" s="33" t="s">
        <v>62</v>
      </c>
      <c r="C13" s="8">
        <f>C12*12</f>
        <v>8199964357.2000008</v>
      </c>
    </row>
    <row r="15" spans="2:18" x14ac:dyDescent="0.2">
      <c r="B15" s="44" t="s">
        <v>61</v>
      </c>
    </row>
    <row r="16" spans="2:18" x14ac:dyDescent="0.2">
      <c r="B16" s="33" t="s">
        <v>78</v>
      </c>
      <c r="C16" s="8">
        <f>751445363.1</f>
        <v>751445363.10000002</v>
      </c>
    </row>
    <row r="17" spans="2:3" x14ac:dyDescent="0.2">
      <c r="B17" s="33" t="s">
        <v>60</v>
      </c>
      <c r="C17" s="9">
        <f>C16*12</f>
        <v>9017344357.2000008</v>
      </c>
    </row>
    <row r="28" spans="2:3" ht="15" customHeight="1" x14ac:dyDescent="0.2"/>
    <row r="29" spans="2:3" ht="15" customHeight="1" x14ac:dyDescent="0.2"/>
    <row r="30" spans="2:3" ht="20.25" customHeight="1" x14ac:dyDescent="0.2"/>
    <row r="31" spans="2:3" ht="20.25" customHeight="1" x14ac:dyDescent="0.2"/>
    <row r="32" spans="2:3" ht="20.25" customHeight="1" x14ac:dyDescent="0.2"/>
    <row r="33" ht="20.25" customHeight="1" x14ac:dyDescent="0.2"/>
    <row r="34" ht="20.25" customHeight="1" x14ac:dyDescent="0.2"/>
    <row r="35" ht="20.25" customHeight="1" x14ac:dyDescent="0.2"/>
    <row r="38" ht="15" customHeight="1" x14ac:dyDescent="0.2"/>
    <row r="39" ht="15" customHeight="1" x14ac:dyDescent="0.2"/>
    <row r="40" ht="20.25" customHeight="1" x14ac:dyDescent="0.2"/>
    <row r="41" ht="20.25" customHeight="1" x14ac:dyDescent="0.2"/>
    <row r="42" ht="20.25" customHeight="1" x14ac:dyDescent="0.2"/>
    <row r="43" ht="20.25" customHeight="1" x14ac:dyDescent="0.2"/>
    <row r="44" ht="20.25" customHeight="1" x14ac:dyDescent="0.2"/>
    <row r="45" ht="20.25" customHeight="1" x14ac:dyDescent="0.2"/>
  </sheetData>
  <phoneticPr fontId="13" type="noConversion"/>
  <printOptions horizontalCentered="1"/>
  <pageMargins left="0.7" right="0.7" top="0.75" bottom="0.75" header="0.3" footer="0.3"/>
  <pageSetup paperSize="9" scale="48" orientation="landscape" horizontalDpi="0" verticalDpi="0"/>
  <headerFooter>
    <oddHeader>&amp;A</oddHeader>
  </headerFooter>
  <ignoredErrors>
    <ignoredError sqref="D5:P5" calculatedColumn="1"/>
  </ignoredErrors>
  <tableParts count="1">
    <tablePart r:id="rId1"/>
  </tableParts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2C4D0C79-41AD-DF48-8735-B99A7DE04BFE}">
          <x14:colorSeries theme="5"/>
          <x14:colorNegative theme="6"/>
          <x14:colorAxis rgb="FF000000"/>
          <x14:colorMarkers theme="5" tint="-0.249977111117893"/>
          <x14:colorFirst theme="5" tint="-0.249977111117893"/>
          <x14:colorLast theme="5" tint="-0.249977111117893"/>
          <x14:colorHigh theme="5" tint="-0.249977111117893"/>
          <x14:colorLow theme="5" tint="-0.249977111117893"/>
          <x14:sparklines>
            <x14:sparkline>
              <xm:f>Ampera!C4:Q4</xm:f>
              <xm:sqref>R4</xm:sqref>
            </x14:sparkline>
          </x14:sparklines>
        </x14:sparklineGroup>
      </x14:sparklineGroup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00E9C-8872-7E47-90FB-465B0FC6A751}">
  <sheetPr>
    <pageSetUpPr fitToPage="1"/>
  </sheetPr>
  <dimension ref="B2:R34"/>
  <sheetViews>
    <sheetView showGridLines="0" topLeftCell="H1" zoomScale="90" zoomScaleNormal="100" workbookViewId="0">
      <selection activeCell="M4" sqref="M4"/>
    </sheetView>
  </sheetViews>
  <sheetFormatPr baseColWidth="10" defaultColWidth="8.83203125" defaultRowHeight="16" x14ac:dyDescent="0.2"/>
  <cols>
    <col min="1" max="1" width="8.83203125" style="1"/>
    <col min="2" max="2" width="19.33203125" style="1" bestFit="1" customWidth="1"/>
    <col min="3" max="12" width="15.5" style="1" customWidth="1"/>
    <col min="13" max="17" width="16.33203125" style="1" bestFit="1" customWidth="1"/>
    <col min="18" max="16384" width="8.83203125" style="1"/>
  </cols>
  <sheetData>
    <row r="2" spans="2:18" x14ac:dyDescent="0.2">
      <c r="E2" s="33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</row>
    <row r="3" spans="2:18" ht="20" customHeight="1" thickBot="1" x14ac:dyDescent="0.25">
      <c r="B3" s="35" t="s">
        <v>46</v>
      </c>
      <c r="C3" s="35" t="s">
        <v>57</v>
      </c>
      <c r="D3" s="35" t="s">
        <v>58</v>
      </c>
      <c r="E3" s="35" t="s">
        <v>59</v>
      </c>
      <c r="F3" s="35" t="s">
        <v>45</v>
      </c>
      <c r="G3" s="35" t="s">
        <v>9</v>
      </c>
      <c r="H3" s="35" t="s">
        <v>10</v>
      </c>
      <c r="I3" s="35" t="s">
        <v>11</v>
      </c>
      <c r="J3" s="35" t="s">
        <v>12</v>
      </c>
      <c r="K3" s="35" t="s">
        <v>13</v>
      </c>
      <c r="L3" s="35" t="s">
        <v>14</v>
      </c>
      <c r="M3" s="35" t="s">
        <v>15</v>
      </c>
      <c r="N3" s="35" t="s">
        <v>16</v>
      </c>
      <c r="O3" s="35" t="s">
        <v>17</v>
      </c>
      <c r="P3" s="35" t="s">
        <v>18</v>
      </c>
      <c r="Q3" s="35" t="s">
        <v>111</v>
      </c>
    </row>
    <row r="4" spans="2:18" ht="20" customHeight="1" x14ac:dyDescent="0.2">
      <c r="B4" s="1" t="s">
        <v>5</v>
      </c>
      <c r="C4" s="8">
        <v>8000000000</v>
      </c>
      <c r="D4" s="8">
        <v>2000000000</v>
      </c>
      <c r="E4" s="8">
        <v>0</v>
      </c>
      <c r="F4" s="8">
        <f>12/9*2400000000</f>
        <v>3200000000</v>
      </c>
      <c r="G4" s="8">
        <v>4500000000</v>
      </c>
      <c r="H4" s="8">
        <v>7200000000</v>
      </c>
      <c r="I4" s="8">
        <f>Table36712[[#This Row],[2024]]+I5</f>
        <v>7700000000</v>
      </c>
      <c r="J4" s="8">
        <f>Table36712[[#This Row],[2025]]+J5</f>
        <v>8200000000</v>
      </c>
      <c r="K4" s="8">
        <f>Table36712[[#This Row],[2026]]+K5</f>
        <v>8700000000</v>
      </c>
      <c r="L4" s="8">
        <f>Table36712[[#This Row],[2027]]+L5</f>
        <v>9200000000</v>
      </c>
      <c r="M4" s="8">
        <f>Table36712[[#This Row],[2028]]+M5</f>
        <v>9700000000</v>
      </c>
      <c r="N4" s="8">
        <f>Table36712[[#This Row],[2029]]+N5</f>
        <v>10200000000</v>
      </c>
      <c r="O4" s="8">
        <f>Table36712[[#This Row],[2030]]+O5</f>
        <v>10700000000</v>
      </c>
      <c r="P4" s="8">
        <f>Table36712[[#This Row],[2031]]+P5</f>
        <v>11200000000</v>
      </c>
      <c r="Q4" s="8">
        <f>Table36712[[#This Row],[2032]]+Q5</f>
        <v>11700000000</v>
      </c>
      <c r="R4" s="31"/>
    </row>
    <row r="5" spans="2:18" ht="20" customHeight="1" thickBot="1" x14ac:dyDescent="0.25">
      <c r="B5" s="1" t="s">
        <v>76</v>
      </c>
      <c r="C5" s="8">
        <v>0</v>
      </c>
      <c r="D5" s="37">
        <v>0</v>
      </c>
      <c r="E5" s="37">
        <v>0</v>
      </c>
      <c r="F5" s="37">
        <v>0</v>
      </c>
      <c r="G5" s="37">
        <v>0</v>
      </c>
      <c r="H5" s="37">
        <v>1000000000</v>
      </c>
      <c r="I5" s="37">
        <v>500000000</v>
      </c>
      <c r="J5" s="37">
        <v>500000000</v>
      </c>
      <c r="K5" s="37">
        <v>500000000</v>
      </c>
      <c r="L5" s="37">
        <v>500000000</v>
      </c>
      <c r="M5" s="37">
        <v>500000000</v>
      </c>
      <c r="N5" s="37">
        <v>500000000</v>
      </c>
      <c r="O5" s="37">
        <v>500000000</v>
      </c>
      <c r="P5" s="37">
        <v>500000000</v>
      </c>
      <c r="Q5" s="37">
        <v>500000000</v>
      </c>
      <c r="R5" s="32"/>
    </row>
    <row r="6" spans="2:18" x14ac:dyDescent="0.2"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</row>
    <row r="8" spans="2:18" ht="20" customHeight="1" thickBot="1" x14ac:dyDescent="0.25">
      <c r="B8" s="35" t="s">
        <v>46</v>
      </c>
      <c r="C8" s="35" t="s">
        <v>57</v>
      </c>
      <c r="D8" s="35" t="s">
        <v>58</v>
      </c>
      <c r="E8" s="35" t="s">
        <v>59</v>
      </c>
      <c r="F8" s="35" t="s">
        <v>45</v>
      </c>
      <c r="G8" s="35" t="s">
        <v>9</v>
      </c>
      <c r="H8" s="35" t="s">
        <v>10</v>
      </c>
      <c r="I8" s="35" t="s">
        <v>11</v>
      </c>
      <c r="J8" s="35" t="s">
        <v>12</v>
      </c>
      <c r="K8" s="35" t="s">
        <v>13</v>
      </c>
      <c r="L8" s="35" t="s">
        <v>14</v>
      </c>
      <c r="M8" s="35" t="s">
        <v>15</v>
      </c>
      <c r="N8" s="35" t="s">
        <v>16</v>
      </c>
      <c r="O8" s="35" t="s">
        <v>17</v>
      </c>
      <c r="P8" s="35" t="s">
        <v>18</v>
      </c>
      <c r="Q8" s="35" t="s">
        <v>111</v>
      </c>
    </row>
    <row r="9" spans="2:18" ht="20" customHeight="1" x14ac:dyDescent="0.2">
      <c r="B9" s="1" t="s">
        <v>5</v>
      </c>
      <c r="C9" s="8">
        <v>8000000000</v>
      </c>
      <c r="D9" s="8">
        <v>2000000000</v>
      </c>
      <c r="E9" s="8">
        <v>0</v>
      </c>
      <c r="F9" s="8">
        <f>12/9*2400000000</f>
        <v>3200000000</v>
      </c>
      <c r="G9" s="8">
        <v>4500000000</v>
      </c>
      <c r="H9" s="8">
        <f>Table3671213[[#This Row],[2023]]+H10</f>
        <v>4750000000</v>
      </c>
      <c r="I9" s="8">
        <f>Table3671213[[#This Row],[2024]]+I10</f>
        <v>5000000000</v>
      </c>
      <c r="J9" s="8">
        <f>Table3671213[[#This Row],[2025]]+J10</f>
        <v>5250000000</v>
      </c>
      <c r="K9" s="8">
        <f>Table3671213[[#This Row],[2026]]+K10</f>
        <v>5750000000</v>
      </c>
      <c r="L9" s="8">
        <f>Table3671213[[#This Row],[2027]]+L10</f>
        <v>6250000000</v>
      </c>
      <c r="M9" s="8">
        <f>Table3671213[[#This Row],[2028]]+M10</f>
        <v>6750000000</v>
      </c>
      <c r="N9" s="8">
        <f>Table3671213[[#This Row],[2029]]+N10</f>
        <v>7250000000</v>
      </c>
      <c r="O9" s="8">
        <f>Table3671213[[#This Row],[2030]]+O10</f>
        <v>7250000000</v>
      </c>
      <c r="P9" s="8">
        <f>Table3671213[[#This Row],[2031]]+P10</f>
        <v>7250000000</v>
      </c>
      <c r="Q9" s="8">
        <f>Table3671213[[#This Row],[2031]]+Q10</f>
        <v>7250000000</v>
      </c>
      <c r="R9" s="31"/>
    </row>
    <row r="10" spans="2:18" ht="20" customHeight="1" thickBot="1" x14ac:dyDescent="0.25">
      <c r="B10" s="1" t="s">
        <v>76</v>
      </c>
      <c r="C10" s="8">
        <v>0</v>
      </c>
      <c r="D10" s="37">
        <v>0</v>
      </c>
      <c r="E10" s="37">
        <v>0</v>
      </c>
      <c r="F10" s="37">
        <v>0</v>
      </c>
      <c r="G10" s="37">
        <v>0</v>
      </c>
      <c r="H10" s="37">
        <v>250000000</v>
      </c>
      <c r="I10" s="37">
        <v>250000000</v>
      </c>
      <c r="J10" s="37">
        <v>250000000</v>
      </c>
      <c r="K10" s="37">
        <v>500000000</v>
      </c>
      <c r="L10" s="37">
        <v>500000000</v>
      </c>
      <c r="M10" s="37">
        <v>500000000</v>
      </c>
      <c r="N10" s="37">
        <v>500000000</v>
      </c>
      <c r="O10" s="37">
        <v>0</v>
      </c>
      <c r="P10" s="37">
        <v>0</v>
      </c>
      <c r="Q10" s="37">
        <v>0</v>
      </c>
      <c r="R10" s="32"/>
    </row>
    <row r="17" ht="15" customHeight="1" x14ac:dyDescent="0.2"/>
    <row r="18" ht="15" customHeight="1" x14ac:dyDescent="0.2"/>
    <row r="19" ht="20.25" customHeight="1" x14ac:dyDescent="0.2"/>
    <row r="20" ht="20.25" customHeight="1" x14ac:dyDescent="0.2"/>
    <row r="21" ht="20.25" customHeight="1" x14ac:dyDescent="0.2"/>
    <row r="22" ht="20.25" customHeight="1" x14ac:dyDescent="0.2"/>
    <row r="23" ht="20.25" customHeight="1" x14ac:dyDescent="0.2"/>
    <row r="24" ht="20.25" customHeight="1" x14ac:dyDescent="0.2"/>
    <row r="27" ht="15" customHeight="1" x14ac:dyDescent="0.2"/>
    <row r="28" ht="15" customHeight="1" x14ac:dyDescent="0.2"/>
    <row r="29" ht="20.25" customHeight="1" x14ac:dyDescent="0.2"/>
    <row r="30" ht="20.25" customHeight="1" x14ac:dyDescent="0.2"/>
    <row r="31" ht="20.25" customHeight="1" x14ac:dyDescent="0.2"/>
    <row r="32" ht="20.25" customHeight="1" x14ac:dyDescent="0.2"/>
    <row r="33" ht="20.25" customHeight="1" x14ac:dyDescent="0.2"/>
    <row r="34" ht="20.25" customHeight="1" x14ac:dyDescent="0.2"/>
  </sheetData>
  <phoneticPr fontId="13" type="noConversion"/>
  <printOptions horizontalCentered="1"/>
  <pageMargins left="0.7" right="0.7" top="0.75" bottom="0.75" header="0.3" footer="0.3"/>
  <pageSetup paperSize="9" scale="48" orientation="landscape" horizontalDpi="0" verticalDpi="0"/>
  <headerFooter>
    <oddHeader>&amp;A</oddHeader>
  </headerFooter>
  <ignoredErrors>
    <ignoredError sqref="C4:G4 C9:P10 C5:I5 I4:P4 K5:N5" calculatedColumn="1"/>
  </ignoredErrors>
  <drawing r:id="rId1"/>
  <tableParts count="2">
    <tablePart r:id="rId2"/>
    <tablePart r:id="rId3"/>
  </tableParts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FF5E32F6-76BA-B445-AB9C-94E4D0BCC643}">
          <x14:colorSeries theme="5"/>
          <x14:colorNegative theme="6"/>
          <x14:colorAxis rgb="FF000000"/>
          <x14:colorMarkers theme="5" tint="-0.249977111117893"/>
          <x14:colorFirst theme="5" tint="-0.249977111117893"/>
          <x14:colorLast theme="5" tint="-0.249977111117893"/>
          <x14:colorHigh theme="5" tint="-0.249977111117893"/>
          <x14:colorLow theme="5" tint="-0.249977111117893"/>
          <x14:sparklines>
            <x14:sparkline>
              <xm:f>SH!C4:Q4</xm:f>
              <xm:sqref>R4</xm:sqref>
            </x14:sparkline>
          </x14:sparklines>
        </x14:sparklineGroup>
        <x14:sparklineGroup displayEmptyCellsAs="gap" xr2:uid="{990FA0E3-C61F-6E4B-84B3-0E05946D3E2D}">
          <x14:colorSeries theme="5"/>
          <x14:colorNegative theme="6"/>
          <x14:colorAxis rgb="FF000000"/>
          <x14:colorMarkers theme="5" tint="-0.249977111117893"/>
          <x14:colorFirst theme="5" tint="-0.249977111117893"/>
          <x14:colorLast theme="5" tint="-0.249977111117893"/>
          <x14:colorHigh theme="5" tint="-0.249977111117893"/>
          <x14:colorLow theme="5" tint="-0.249977111117893"/>
          <x14:sparklines>
            <x14:sparkline>
              <xm:f>SH!C9:Q9</xm:f>
              <xm:sqref>R9</xm:sqref>
            </x14:sparkline>
          </x14:sparklines>
        </x14:sparklineGroup>
      </x14:sparklineGroup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45D45-7987-9842-B24D-05BDE99845CC}">
  <sheetPr>
    <pageSetUpPr fitToPage="1"/>
  </sheetPr>
  <dimension ref="B2:R35"/>
  <sheetViews>
    <sheetView showGridLines="0" zoomScale="93" zoomScaleNormal="100" workbookViewId="0">
      <selection activeCell="M5" sqref="M5"/>
    </sheetView>
  </sheetViews>
  <sheetFormatPr baseColWidth="10" defaultColWidth="8.83203125" defaultRowHeight="16" x14ac:dyDescent="0.2"/>
  <cols>
    <col min="1" max="1" width="8.83203125" style="1"/>
    <col min="2" max="2" width="19.33203125" style="1" bestFit="1" customWidth="1"/>
    <col min="3" max="17" width="15.5" style="1" customWidth="1"/>
    <col min="18" max="16384" width="8.83203125" style="1"/>
  </cols>
  <sheetData>
    <row r="2" spans="2:18" x14ac:dyDescent="0.2">
      <c r="E2" s="33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</row>
    <row r="3" spans="2:18" ht="20" customHeight="1" thickBot="1" x14ac:dyDescent="0.25">
      <c r="B3" s="35" t="s">
        <v>46</v>
      </c>
      <c r="C3" s="35" t="s">
        <v>57</v>
      </c>
      <c r="D3" s="35" t="s">
        <v>58</v>
      </c>
      <c r="E3" s="35" t="s">
        <v>59</v>
      </c>
      <c r="F3" s="35" t="s">
        <v>45</v>
      </c>
      <c r="G3" s="35" t="s">
        <v>9</v>
      </c>
      <c r="H3" s="35" t="s">
        <v>10</v>
      </c>
      <c r="I3" s="35" t="s">
        <v>11</v>
      </c>
      <c r="J3" s="35" t="s">
        <v>12</v>
      </c>
      <c r="K3" s="35" t="s">
        <v>13</v>
      </c>
      <c r="L3" s="35" t="s">
        <v>14</v>
      </c>
      <c r="M3" s="35" t="s">
        <v>15</v>
      </c>
      <c r="N3" s="35" t="s">
        <v>16</v>
      </c>
      <c r="O3" s="35" t="s">
        <v>17</v>
      </c>
      <c r="P3" s="35" t="s">
        <v>18</v>
      </c>
      <c r="Q3" s="35" t="s">
        <v>111</v>
      </c>
    </row>
    <row r="4" spans="2:18" ht="20" customHeight="1" x14ac:dyDescent="0.2">
      <c r="B4" s="1" t="s">
        <v>81</v>
      </c>
      <c r="C4" s="8"/>
      <c r="D4" s="8">
        <f>Table36710[[#This Row],[2019]]+D5</f>
        <v>0</v>
      </c>
      <c r="E4" s="8">
        <f>Table36710[[#This Row],[2020]]+E5</f>
        <v>0</v>
      </c>
      <c r="F4" s="8">
        <v>8000000000</v>
      </c>
      <c r="G4" s="8">
        <f>Table36710[[#This Row],[2022]]+G5</f>
        <v>8500000000</v>
      </c>
      <c r="H4" s="8">
        <f>Table36710[[#This Row],[2023]]+H5</f>
        <v>10000000000</v>
      </c>
      <c r="I4" s="8">
        <f>Table36710[[#This Row],[2024]]+I5</f>
        <v>11000000000</v>
      </c>
      <c r="J4" s="8">
        <f>Table36710[[#This Row],[2025]]+J5</f>
        <v>12000000000</v>
      </c>
      <c r="K4" s="8">
        <f>Table36710[[#This Row],[2026]]+K5</f>
        <v>12500000000</v>
      </c>
      <c r="L4" s="8">
        <f>Table36710[[#This Row],[2027]]+L5</f>
        <v>13000000000</v>
      </c>
      <c r="M4" s="8">
        <f>Table36710[[#This Row],[2028]]+M5</f>
        <v>13000000000</v>
      </c>
      <c r="N4" s="8">
        <f>Table36710[[#This Row],[2029]]+N5</f>
        <v>13000000000</v>
      </c>
      <c r="O4" s="8">
        <f>Table36710[[#This Row],[2030]]+O5</f>
        <v>13000000000</v>
      </c>
      <c r="P4" s="8">
        <f>Table36710[[#This Row],[2031]]+P5</f>
        <v>13000000000</v>
      </c>
      <c r="Q4" s="8">
        <f>Table36710[[#This Row],[2032]]+Q5</f>
        <v>13000000000</v>
      </c>
      <c r="R4" s="31"/>
    </row>
    <row r="5" spans="2:18" ht="20" customHeight="1" thickBot="1" x14ac:dyDescent="0.25">
      <c r="B5" s="1" t="s">
        <v>76</v>
      </c>
      <c r="C5" s="8"/>
      <c r="D5" s="37">
        <v>0</v>
      </c>
      <c r="E5" s="37">
        <v>0</v>
      </c>
      <c r="F5" s="37">
        <v>0</v>
      </c>
      <c r="G5" s="37">
        <v>500000000</v>
      </c>
      <c r="H5" s="37">
        <v>1500000000</v>
      </c>
      <c r="I5" s="37">
        <v>1000000000</v>
      </c>
      <c r="J5" s="37">
        <v>1000000000</v>
      </c>
      <c r="K5" s="37">
        <v>500000000</v>
      </c>
      <c r="L5" s="37">
        <v>500000000</v>
      </c>
      <c r="M5" s="37">
        <v>0</v>
      </c>
      <c r="N5" s="37">
        <v>0</v>
      </c>
      <c r="O5" s="37">
        <v>0</v>
      </c>
      <c r="P5" s="37">
        <v>0</v>
      </c>
      <c r="Q5" s="37">
        <v>0</v>
      </c>
      <c r="R5" s="32"/>
    </row>
    <row r="6" spans="2:18" x14ac:dyDescent="0.2"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</row>
    <row r="7" spans="2:18" x14ac:dyDescent="0.2"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</row>
    <row r="18" ht="15" customHeight="1" x14ac:dyDescent="0.2"/>
    <row r="19" ht="15" customHeight="1" x14ac:dyDescent="0.2"/>
    <row r="20" ht="20.25" customHeight="1" x14ac:dyDescent="0.2"/>
    <row r="21" ht="20.25" customHeight="1" x14ac:dyDescent="0.2"/>
    <row r="22" ht="20.25" customHeight="1" x14ac:dyDescent="0.2"/>
    <row r="23" ht="20.25" customHeight="1" x14ac:dyDescent="0.2"/>
    <row r="24" ht="20.25" customHeight="1" x14ac:dyDescent="0.2"/>
    <row r="25" ht="20.25" customHeight="1" x14ac:dyDescent="0.2"/>
    <row r="28" ht="15" customHeight="1" x14ac:dyDescent="0.2"/>
    <row r="29" ht="15" customHeight="1" x14ac:dyDescent="0.2"/>
    <row r="30" ht="20.25" customHeight="1" x14ac:dyDescent="0.2"/>
    <row r="31" ht="20.25" customHeight="1" x14ac:dyDescent="0.2"/>
    <row r="32" ht="20.25" customHeight="1" x14ac:dyDescent="0.2"/>
    <row r="33" ht="20.25" customHeight="1" x14ac:dyDescent="0.2"/>
    <row r="34" ht="20.25" customHeight="1" x14ac:dyDescent="0.2"/>
    <row r="35" ht="20.25" customHeight="1" x14ac:dyDescent="0.2"/>
  </sheetData>
  <phoneticPr fontId="13" type="noConversion"/>
  <printOptions horizontalCentered="1"/>
  <pageMargins left="0.7" right="0.7" top="0.75" bottom="0.75" header="0.3" footer="0.3"/>
  <pageSetup paperSize="9" scale="48" orientation="landscape" horizontalDpi="0" verticalDpi="0"/>
  <headerFooter>
    <oddHeader>&amp;A</oddHeader>
  </headerFooter>
  <ignoredErrors>
    <ignoredError sqref="D5:F5 D4:E4 G4:P4 M5" calculatedColumn="1"/>
  </ignoredErrors>
  <tableParts count="1">
    <tablePart r:id="rId1"/>
  </tableParts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EDC6EF57-8C45-334C-8E78-E2EF973B86C5}">
          <x14:colorSeries theme="5"/>
          <x14:colorNegative theme="6"/>
          <x14:colorAxis rgb="FF000000"/>
          <x14:colorMarkers theme="5" tint="-0.249977111117893"/>
          <x14:colorFirst theme="5" tint="-0.249977111117893"/>
          <x14:colorLast theme="5" tint="-0.249977111117893"/>
          <x14:colorHigh theme="5" tint="-0.249977111117893"/>
          <x14:colorLow theme="5" tint="-0.249977111117893"/>
          <x14:sparklines>
            <x14:sparkline>
              <xm:f>Dago!C4:Q4</xm:f>
              <xm:sqref>R4</xm:sqref>
            </x14:sparkline>
          </x14:sparklines>
        </x14:sparklineGroup>
      </x14:sparklineGroup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074F7-CFA9-3540-88B9-F99C9D508285}">
  <sheetPr>
    <pageSetUpPr fitToPage="1"/>
  </sheetPr>
  <dimension ref="B2:AM40"/>
  <sheetViews>
    <sheetView showGridLines="0" topLeftCell="C1" zoomScale="108" zoomScaleNormal="100" workbookViewId="0">
      <selection activeCell="H4" sqref="H4"/>
    </sheetView>
  </sheetViews>
  <sheetFormatPr baseColWidth="10" defaultColWidth="8.83203125" defaultRowHeight="16" x14ac:dyDescent="0.2"/>
  <cols>
    <col min="1" max="1" width="8.83203125" style="1"/>
    <col min="2" max="2" width="19.33203125" style="1" bestFit="1" customWidth="1"/>
    <col min="3" max="7" width="15.5" style="1" customWidth="1"/>
    <col min="8" max="8" width="15.83203125" style="1" customWidth="1"/>
    <col min="9" max="17" width="15.5" style="1" customWidth="1"/>
    <col min="18" max="24" width="8.83203125" style="1"/>
    <col min="25" max="38" width="20.5" style="1" customWidth="1"/>
    <col min="39" max="39" width="18.5" style="1" bestFit="1" customWidth="1"/>
    <col min="40" max="16384" width="8.83203125" style="1"/>
  </cols>
  <sheetData>
    <row r="2" spans="2:39" ht="17" thickBot="1" x14ac:dyDescent="0.25">
      <c r="E2" s="33" t="s">
        <v>55</v>
      </c>
      <c r="F2" s="34">
        <f>Summary!C4</f>
        <v>0.79290000000000005</v>
      </c>
      <c r="G2" s="34">
        <f>Summary!D4</f>
        <v>0.81121612770824147</v>
      </c>
      <c r="H2" s="34">
        <f>Summary!E4</f>
        <v>0.89627449309068341</v>
      </c>
      <c r="I2" s="34">
        <f>Summary!F4</f>
        <v>0.89621466651914994</v>
      </c>
      <c r="J2" s="34">
        <f>Summary!G4</f>
        <v>0.89224538308143131</v>
      </c>
      <c r="K2" s="34">
        <f>Summary!H4</f>
        <v>0.88126037349636632</v>
      </c>
      <c r="L2" s="34">
        <f>Summary!I4</f>
        <v>0.88348404518333434</v>
      </c>
      <c r="M2" s="34">
        <f>Summary!J4</f>
        <v>0.89473902374484471</v>
      </c>
      <c r="N2" s="34">
        <f>Summary!K4</f>
        <v>0.88880335140849887</v>
      </c>
      <c r="O2" s="34">
        <f>Summary!L4</f>
        <v>0.900598560100347</v>
      </c>
      <c r="P2" s="34">
        <f>Summary!M4</f>
        <v>0.900598560100347</v>
      </c>
      <c r="Q2" s="34">
        <f>Summary!N4</f>
        <v>0.900598560100347</v>
      </c>
    </row>
    <row r="3" spans="2:39" ht="20" customHeight="1" thickBot="1" x14ac:dyDescent="0.25">
      <c r="B3" s="35" t="s">
        <v>46</v>
      </c>
      <c r="C3" s="35" t="s">
        <v>57</v>
      </c>
      <c r="D3" s="35" t="s">
        <v>58</v>
      </c>
      <c r="E3" s="35" t="s">
        <v>59</v>
      </c>
      <c r="F3" s="35" t="s">
        <v>45</v>
      </c>
      <c r="G3" s="55" t="s">
        <v>9</v>
      </c>
      <c r="H3" s="56" t="s">
        <v>10</v>
      </c>
      <c r="I3" s="56" t="s">
        <v>11</v>
      </c>
      <c r="J3" s="56" t="s">
        <v>12</v>
      </c>
      <c r="K3" s="56" t="s">
        <v>13</v>
      </c>
      <c r="L3" s="56" t="s">
        <v>14</v>
      </c>
      <c r="M3" s="56" t="s">
        <v>15</v>
      </c>
      <c r="N3" s="56" t="s">
        <v>16</v>
      </c>
      <c r="O3" s="56" t="s">
        <v>17</v>
      </c>
      <c r="P3" s="56" t="s">
        <v>18</v>
      </c>
      <c r="Q3" s="56" t="s">
        <v>111</v>
      </c>
      <c r="X3" s="36"/>
      <c r="Y3" s="158" t="s">
        <v>22</v>
      </c>
      <c r="Z3" s="159"/>
      <c r="AA3" s="159"/>
      <c r="AB3" s="159"/>
      <c r="AC3" s="159"/>
      <c r="AD3" s="159"/>
      <c r="AE3" s="159"/>
      <c r="AF3" s="159"/>
      <c r="AG3" s="159"/>
      <c r="AH3" s="159"/>
      <c r="AI3" s="159"/>
      <c r="AJ3" s="159"/>
      <c r="AK3" s="159"/>
      <c r="AL3" s="159"/>
      <c r="AM3" s="36"/>
    </row>
    <row r="4" spans="2:39" ht="20" customHeight="1" thickBot="1" x14ac:dyDescent="0.25">
      <c r="B4" s="1" t="s">
        <v>56</v>
      </c>
      <c r="C4" s="8">
        <v>19184306270</v>
      </c>
      <c r="D4" s="8">
        <v>16273757320</v>
      </c>
      <c r="E4" s="8">
        <v>14975015104.554581</v>
      </c>
      <c r="F4" s="125">
        <v>15151548951.902332</v>
      </c>
      <c r="G4" s="126">
        <f>16399663023.4286+1300000000</f>
        <v>17699663023.4286</v>
      </c>
      <c r="H4" s="57">
        <f>H2/G2*Table3611[[#This Row],[2023]]</f>
        <v>19555524061.159779</v>
      </c>
      <c r="I4" s="124">
        <f>I2/H2*Table3611[[#This Row],[2024]]</f>
        <v>19554218724.493233</v>
      </c>
      <c r="J4" s="124">
        <f>J2/I2*Table3611[[#This Row],[2025]]</f>
        <v>19467614209.503407</v>
      </c>
      <c r="K4" s="124">
        <f>K2/J2*Table3611[[#This Row],[2026]]</f>
        <v>19227935828.707321</v>
      </c>
      <c r="L4" s="124">
        <f>L2/K2*Table3611[[#This Row],[2027]]</f>
        <v>19276453403.974548</v>
      </c>
      <c r="M4" s="124">
        <f>M2/L2*Table3611[[#This Row],[2028]]</f>
        <v>19522022150.786118</v>
      </c>
      <c r="N4" s="124">
        <f>N2/M2*Table3611[[#This Row],[2029]]</f>
        <v>19392513630.698368</v>
      </c>
      <c r="O4" s="124">
        <f>O2/N2*Table3611[[#This Row],[2030]]</f>
        <v>19649869484.46637</v>
      </c>
      <c r="P4" s="124">
        <f>P2/O2*Table3611[[#This Row],[2031]]</f>
        <v>19649869484.46637</v>
      </c>
      <c r="Q4" s="134">
        <f>Q2/P2*Table3611[[#This Row],[2032]]</f>
        <v>19649869484.46637</v>
      </c>
      <c r="R4" s="69"/>
      <c r="X4" s="36"/>
      <c r="Y4" s="160"/>
      <c r="Z4" s="161"/>
      <c r="AA4" s="161"/>
      <c r="AB4" s="161"/>
      <c r="AC4" s="161"/>
      <c r="AD4" s="161"/>
      <c r="AE4" s="161"/>
      <c r="AF4" s="161"/>
      <c r="AG4" s="161"/>
      <c r="AH4" s="161"/>
      <c r="AI4" s="161"/>
      <c r="AJ4" s="161"/>
      <c r="AK4" s="161"/>
      <c r="AL4" s="161"/>
      <c r="AM4" s="36"/>
    </row>
    <row r="5" spans="2:39" x14ac:dyDescent="0.2">
      <c r="G5" s="127"/>
      <c r="H5" s="59"/>
      <c r="I5" s="60"/>
      <c r="J5" s="60"/>
      <c r="K5" s="60"/>
      <c r="L5" s="60"/>
      <c r="M5" s="60"/>
      <c r="N5" s="60"/>
      <c r="O5" s="60"/>
      <c r="P5" s="60"/>
      <c r="Q5" s="60"/>
      <c r="X5" s="36"/>
      <c r="Y5" s="162" t="s">
        <v>23</v>
      </c>
      <c r="Z5" s="12" t="s">
        <v>24</v>
      </c>
      <c r="AA5" s="12" t="s">
        <v>25</v>
      </c>
      <c r="AB5" s="12" t="s">
        <v>26</v>
      </c>
      <c r="AC5" s="12" t="s">
        <v>27</v>
      </c>
      <c r="AD5" s="12" t="s">
        <v>28</v>
      </c>
      <c r="AE5" s="12" t="s">
        <v>29</v>
      </c>
      <c r="AF5" s="12" t="s">
        <v>30</v>
      </c>
      <c r="AG5" s="12" t="s">
        <v>31</v>
      </c>
      <c r="AH5" s="12" t="s">
        <v>32</v>
      </c>
      <c r="AI5" s="12" t="s">
        <v>33</v>
      </c>
      <c r="AJ5" s="12" t="s">
        <v>34</v>
      </c>
      <c r="AK5" s="12" t="s">
        <v>35</v>
      </c>
      <c r="AL5" s="13" t="s">
        <v>20</v>
      </c>
      <c r="AM5" s="36"/>
    </row>
    <row r="6" spans="2:39" x14ac:dyDescent="0.2">
      <c r="C6" s="61"/>
      <c r="D6" s="61"/>
      <c r="E6" s="61"/>
      <c r="F6" s="123"/>
      <c r="G6" s="128"/>
      <c r="H6" s="121"/>
      <c r="I6" s="62"/>
      <c r="J6" s="62"/>
      <c r="K6" s="60"/>
      <c r="L6" s="60"/>
      <c r="M6" s="60"/>
      <c r="N6" s="60"/>
      <c r="O6" s="60"/>
      <c r="P6" s="60"/>
      <c r="Q6" s="60"/>
      <c r="X6" s="36"/>
      <c r="Y6" s="163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5"/>
      <c r="AM6" s="36"/>
    </row>
    <row r="7" spans="2:39" x14ac:dyDescent="0.2">
      <c r="G7" s="127"/>
      <c r="H7" s="59"/>
      <c r="I7" s="60"/>
      <c r="J7" s="60"/>
      <c r="K7" s="60"/>
      <c r="L7" s="60"/>
      <c r="M7" s="60"/>
      <c r="N7" s="60"/>
      <c r="O7" s="60"/>
      <c r="P7" s="60"/>
      <c r="Q7" s="60"/>
      <c r="X7" s="36"/>
      <c r="Y7" s="39" t="s">
        <v>37</v>
      </c>
      <c r="Z7" s="40">
        <v>1828600993</v>
      </c>
      <c r="AA7" s="40">
        <v>1745141108</v>
      </c>
      <c r="AB7" s="40">
        <v>1942816860</v>
      </c>
      <c r="AC7" s="40">
        <v>1920153687</v>
      </c>
      <c r="AD7" s="40">
        <v>2095867421</v>
      </c>
      <c r="AE7" s="40">
        <v>1840315562</v>
      </c>
      <c r="AF7" s="40">
        <v>2153287355</v>
      </c>
      <c r="AG7" s="40">
        <v>1920548468</v>
      </c>
      <c r="AH7" s="40">
        <v>2083622376</v>
      </c>
      <c r="AI7" s="40">
        <v>2238172090</v>
      </c>
      <c r="AJ7" s="40">
        <v>2127067741</v>
      </c>
      <c r="AK7" s="40">
        <v>2064953768</v>
      </c>
      <c r="AL7" s="41">
        <f>SUM(Z7:AK7)</f>
        <v>23960547429</v>
      </c>
      <c r="AM7" s="36"/>
    </row>
    <row r="8" spans="2:39" x14ac:dyDescent="0.2">
      <c r="G8" s="129" t="s">
        <v>69</v>
      </c>
      <c r="H8" s="122" t="s">
        <v>70</v>
      </c>
      <c r="I8" s="60"/>
      <c r="J8" s="60"/>
      <c r="K8" s="60"/>
      <c r="L8" s="60"/>
      <c r="M8" s="60"/>
      <c r="N8" s="60"/>
      <c r="O8" s="60"/>
      <c r="P8" s="60"/>
      <c r="Q8" s="60"/>
      <c r="X8" s="36"/>
      <c r="Y8" s="39" t="s">
        <v>38</v>
      </c>
      <c r="Z8" s="40">
        <v>1464166513</v>
      </c>
      <c r="AA8" s="40">
        <v>1414936358</v>
      </c>
      <c r="AB8" s="40">
        <v>1357083300</v>
      </c>
      <c r="AC8" s="40">
        <v>1388031906</v>
      </c>
      <c r="AD8" s="40">
        <v>1607714938</v>
      </c>
      <c r="AE8" s="40">
        <v>1718436321</v>
      </c>
      <c r="AF8" s="40">
        <v>1752236298</v>
      </c>
      <c r="AG8" s="40">
        <v>1703714897</v>
      </c>
      <c r="AH8" s="40">
        <v>1643490893</v>
      </c>
      <c r="AI8" s="40">
        <v>1776976086</v>
      </c>
      <c r="AJ8" s="40">
        <v>1783782368</v>
      </c>
      <c r="AK8" s="40">
        <v>1573736392</v>
      </c>
      <c r="AL8" s="42">
        <f t="shared" ref="AL8:AL9" si="0">SUM(Z8:AK8)</f>
        <v>19184306270</v>
      </c>
      <c r="AM8" s="43"/>
    </row>
    <row r="9" spans="2:39" x14ac:dyDescent="0.2">
      <c r="G9" s="130" cm="1">
        <f t="array" ref="G9">Table3611[2023]-Table3611[2022]</f>
        <v>2548114071.526268</v>
      </c>
      <c r="H9" s="65">
        <f>G9/(G8*100)</f>
        <v>1084303860.2239437</v>
      </c>
      <c r="I9" s="60"/>
      <c r="J9" s="60"/>
      <c r="K9" s="60"/>
      <c r="L9" s="60"/>
      <c r="M9" s="60"/>
      <c r="N9" s="60"/>
      <c r="O9" s="60"/>
      <c r="P9" s="60"/>
      <c r="Q9" s="60"/>
      <c r="X9" s="36"/>
      <c r="Y9" s="39" t="s">
        <v>39</v>
      </c>
      <c r="Z9" s="40">
        <v>364434480</v>
      </c>
      <c r="AA9" s="40">
        <v>330204750</v>
      </c>
      <c r="AB9" s="40">
        <v>585733560</v>
      </c>
      <c r="AC9" s="40">
        <v>532121781</v>
      </c>
      <c r="AD9" s="40">
        <v>488152483</v>
      </c>
      <c r="AE9" s="40">
        <v>121879241</v>
      </c>
      <c r="AF9" s="40">
        <v>401051057</v>
      </c>
      <c r="AG9" s="40">
        <v>216833571</v>
      </c>
      <c r="AH9" s="40">
        <v>440131483</v>
      </c>
      <c r="AI9" s="40">
        <v>461196004</v>
      </c>
      <c r="AJ9" s="40">
        <v>343285373</v>
      </c>
      <c r="AK9" s="40">
        <v>491217376</v>
      </c>
      <c r="AL9" s="41">
        <f t="shared" si="0"/>
        <v>4776241159</v>
      </c>
      <c r="AM9" s="36"/>
    </row>
    <row r="10" spans="2:39" ht="17" thickBot="1" x14ac:dyDescent="0.25">
      <c r="G10" s="127"/>
      <c r="H10" s="59"/>
      <c r="I10" s="60"/>
      <c r="J10" s="60"/>
      <c r="K10" s="60"/>
      <c r="L10" s="60"/>
      <c r="M10" s="60"/>
      <c r="N10" s="60"/>
      <c r="O10" s="60"/>
      <c r="P10" s="60"/>
      <c r="Q10" s="60"/>
      <c r="X10" s="36"/>
      <c r="Y10" s="45" t="s">
        <v>40</v>
      </c>
      <c r="Z10" s="46">
        <v>0.2</v>
      </c>
      <c r="AA10" s="46">
        <v>0.19</v>
      </c>
      <c r="AB10" s="46">
        <v>0.3</v>
      </c>
      <c r="AC10" s="46">
        <v>0.28000000000000003</v>
      </c>
      <c r="AD10" s="46">
        <v>0.23</v>
      </c>
      <c r="AE10" s="46">
        <v>7.0000000000000007E-2</v>
      </c>
      <c r="AF10" s="46">
        <v>0.19</v>
      </c>
      <c r="AG10" s="46">
        <v>0.11</v>
      </c>
      <c r="AH10" s="46">
        <v>0.21</v>
      </c>
      <c r="AI10" s="46">
        <v>0.21</v>
      </c>
      <c r="AJ10" s="46">
        <v>0.16</v>
      </c>
      <c r="AK10" s="46">
        <v>0.24</v>
      </c>
      <c r="AL10" s="46">
        <v>0.2</v>
      </c>
      <c r="AM10" s="36"/>
    </row>
    <row r="11" spans="2:39" x14ac:dyDescent="0.2">
      <c r="X11" s="36"/>
      <c r="Y11" s="36"/>
      <c r="Z11" s="36"/>
      <c r="AA11" s="36"/>
      <c r="AB11" s="36"/>
      <c r="AC11" s="36"/>
      <c r="AD11" s="36"/>
      <c r="AE11" s="36"/>
      <c r="AF11" s="36"/>
      <c r="AG11" s="36"/>
      <c r="AH11" s="36"/>
      <c r="AI11" s="36"/>
      <c r="AJ11" s="36"/>
      <c r="AK11" s="36"/>
      <c r="AL11" s="36"/>
      <c r="AM11" s="36"/>
    </row>
    <row r="12" spans="2:39" ht="17" thickBot="1" x14ac:dyDescent="0.25">
      <c r="X12" s="36"/>
      <c r="Y12" s="36"/>
      <c r="Z12" s="36"/>
      <c r="AA12" s="36"/>
      <c r="AB12" s="36"/>
      <c r="AC12" s="36"/>
      <c r="AD12" s="36"/>
      <c r="AE12" s="36"/>
      <c r="AF12" s="36"/>
      <c r="AG12" s="36"/>
      <c r="AH12" s="36"/>
      <c r="AI12" s="36"/>
      <c r="AJ12" s="36"/>
      <c r="AK12" s="36"/>
      <c r="AL12" s="36"/>
      <c r="AM12" s="36"/>
    </row>
    <row r="13" spans="2:39" x14ac:dyDescent="0.2">
      <c r="X13" s="36"/>
      <c r="Y13" s="158" t="s">
        <v>41</v>
      </c>
      <c r="Z13" s="159"/>
      <c r="AA13" s="159"/>
      <c r="AB13" s="159"/>
      <c r="AC13" s="159"/>
      <c r="AD13" s="159"/>
      <c r="AE13" s="159"/>
      <c r="AF13" s="159"/>
      <c r="AG13" s="159"/>
      <c r="AH13" s="159"/>
      <c r="AI13" s="159"/>
      <c r="AJ13" s="159"/>
      <c r="AK13" s="159"/>
      <c r="AL13" s="159"/>
      <c r="AM13" s="36"/>
    </row>
    <row r="14" spans="2:39" x14ac:dyDescent="0.2">
      <c r="G14" s="67" t="s">
        <v>73</v>
      </c>
      <c r="H14" s="68" t="s">
        <v>74</v>
      </c>
      <c r="X14" s="36"/>
      <c r="Y14" s="160"/>
      <c r="Z14" s="161"/>
      <c r="AA14" s="161"/>
      <c r="AB14" s="161"/>
      <c r="AC14" s="161"/>
      <c r="AD14" s="161"/>
      <c r="AE14" s="161"/>
      <c r="AF14" s="161"/>
      <c r="AG14" s="161"/>
      <c r="AH14" s="161"/>
      <c r="AI14" s="161"/>
      <c r="AJ14" s="161"/>
      <c r="AK14" s="161"/>
      <c r="AL14" s="161"/>
      <c r="AM14" s="36"/>
    </row>
    <row r="15" spans="2:39" x14ac:dyDescent="0.2">
      <c r="X15" s="36"/>
      <c r="Y15" s="162" t="s">
        <v>23</v>
      </c>
      <c r="Z15" s="12" t="s">
        <v>24</v>
      </c>
      <c r="AA15" s="12" t="s">
        <v>25</v>
      </c>
      <c r="AB15" s="12" t="s">
        <v>26</v>
      </c>
      <c r="AC15" s="12" t="s">
        <v>27</v>
      </c>
      <c r="AD15" s="12" t="s">
        <v>28</v>
      </c>
      <c r="AE15" s="12" t="s">
        <v>29</v>
      </c>
      <c r="AF15" s="12" t="s">
        <v>30</v>
      </c>
      <c r="AG15" s="12" t="s">
        <v>31</v>
      </c>
      <c r="AH15" s="12" t="s">
        <v>32</v>
      </c>
      <c r="AI15" s="12" t="s">
        <v>33</v>
      </c>
      <c r="AJ15" s="12" t="s">
        <v>34</v>
      </c>
      <c r="AK15" s="12" t="s">
        <v>35</v>
      </c>
      <c r="AL15" s="13" t="s">
        <v>20</v>
      </c>
      <c r="AM15" s="36"/>
    </row>
    <row r="16" spans="2:39" x14ac:dyDescent="0.2">
      <c r="X16" s="36"/>
      <c r="Y16" s="163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6"/>
      <c r="AM16" s="36"/>
    </row>
    <row r="17" spans="7:39" x14ac:dyDescent="0.2">
      <c r="X17" s="36"/>
      <c r="Y17" s="39" t="s">
        <v>37</v>
      </c>
      <c r="Z17" s="40">
        <v>2009021736</v>
      </c>
      <c r="AA17" s="40">
        <v>1836306894</v>
      </c>
      <c r="AB17" s="40">
        <v>1768759442</v>
      </c>
      <c r="AC17" s="40">
        <v>1157413290</v>
      </c>
      <c r="AD17" s="40">
        <v>1199412435</v>
      </c>
      <c r="AE17" s="40">
        <v>1619526673</v>
      </c>
      <c r="AF17" s="40">
        <v>1627351749</v>
      </c>
      <c r="AG17" s="40">
        <v>1564795878</v>
      </c>
      <c r="AH17" s="40">
        <v>1510745790</v>
      </c>
      <c r="AI17" s="40">
        <v>1493415477</v>
      </c>
      <c r="AJ17" s="40">
        <v>1535571746</v>
      </c>
      <c r="AK17" s="40">
        <v>1464415465</v>
      </c>
      <c r="AL17" s="41">
        <f>SUM(Z17:AK17)</f>
        <v>18786736575</v>
      </c>
      <c r="AM17" s="36"/>
    </row>
    <row r="18" spans="7:39" x14ac:dyDescent="0.2">
      <c r="X18" s="36"/>
      <c r="Y18" s="39" t="s">
        <v>38</v>
      </c>
      <c r="Z18" s="40">
        <v>1712288558</v>
      </c>
      <c r="AA18" s="40">
        <v>1596078085</v>
      </c>
      <c r="AB18" s="40">
        <v>1409346910</v>
      </c>
      <c r="AC18" s="40">
        <v>1160923570</v>
      </c>
      <c r="AD18" s="40">
        <v>1169086255</v>
      </c>
      <c r="AE18" s="40">
        <v>1392279879</v>
      </c>
      <c r="AF18" s="40">
        <v>1385033678</v>
      </c>
      <c r="AG18" s="40">
        <v>1368693915</v>
      </c>
      <c r="AH18" s="40">
        <v>1243651553</v>
      </c>
      <c r="AI18" s="40">
        <v>1311902597</v>
      </c>
      <c r="AJ18" s="40">
        <v>1313255727</v>
      </c>
      <c r="AK18" s="40">
        <v>1211216593</v>
      </c>
      <c r="AL18" s="42">
        <f t="shared" ref="AL18:AL19" si="1">SUM(Z18:AK18)</f>
        <v>16273757320</v>
      </c>
      <c r="AM18" s="43"/>
    </row>
    <row r="19" spans="7:39" x14ac:dyDescent="0.2">
      <c r="X19" s="36"/>
      <c r="Y19" s="39" t="s">
        <v>39</v>
      </c>
      <c r="Z19" s="40">
        <v>296733178</v>
      </c>
      <c r="AA19" s="40">
        <v>240228809</v>
      </c>
      <c r="AB19" s="40">
        <v>359412532</v>
      </c>
      <c r="AC19" s="40">
        <v>-3510280</v>
      </c>
      <c r="AD19" s="40">
        <v>30326180</v>
      </c>
      <c r="AE19" s="40">
        <v>227246794</v>
      </c>
      <c r="AF19" s="40">
        <v>242318071</v>
      </c>
      <c r="AG19" s="40">
        <v>196101963</v>
      </c>
      <c r="AH19" s="40">
        <v>267094237</v>
      </c>
      <c r="AI19" s="40">
        <v>181512880</v>
      </c>
      <c r="AJ19" s="40">
        <v>222316019</v>
      </c>
      <c r="AK19" s="40">
        <v>253198872</v>
      </c>
      <c r="AL19" s="41">
        <f t="shared" si="1"/>
        <v>2512979255</v>
      </c>
      <c r="AM19" s="36"/>
    </row>
    <row r="20" spans="7:39" ht="17" thickBot="1" x14ac:dyDescent="0.25">
      <c r="X20" s="36"/>
      <c r="Y20" s="45" t="s">
        <v>40</v>
      </c>
      <c r="Z20" s="46">
        <v>0.15</v>
      </c>
      <c r="AA20" s="46">
        <v>0.13</v>
      </c>
      <c r="AB20" s="46">
        <v>0.2</v>
      </c>
      <c r="AC20" s="46">
        <v>0</v>
      </c>
      <c r="AD20" s="46">
        <v>0.03</v>
      </c>
      <c r="AE20" s="46">
        <v>0.14000000000000001</v>
      </c>
      <c r="AF20" s="46">
        <v>0.15</v>
      </c>
      <c r="AG20" s="46">
        <v>0.13</v>
      </c>
      <c r="AH20" s="46">
        <v>0.18</v>
      </c>
      <c r="AI20" s="46">
        <v>0.12</v>
      </c>
      <c r="AJ20" s="46">
        <v>0.14000000000000001</v>
      </c>
      <c r="AK20" s="46">
        <v>0.17</v>
      </c>
      <c r="AL20" s="46">
        <v>0.13</v>
      </c>
      <c r="AM20" s="36"/>
    </row>
    <row r="22" spans="7:39" ht="17" thickBot="1" x14ac:dyDescent="0.25"/>
    <row r="23" spans="7:39" ht="15" customHeight="1" x14ac:dyDescent="0.2">
      <c r="Y23" s="152" t="s">
        <v>42</v>
      </c>
      <c r="Z23" s="153"/>
      <c r="AA23" s="153"/>
      <c r="AB23" s="153"/>
      <c r="AC23" s="153"/>
      <c r="AD23" s="153"/>
      <c r="AE23" s="153"/>
      <c r="AF23" s="153"/>
      <c r="AG23" s="153"/>
      <c r="AH23" s="153"/>
      <c r="AI23" s="153"/>
      <c r="AJ23" s="153"/>
      <c r="AK23" s="153"/>
      <c r="AL23" s="153"/>
      <c r="AM23" s="47"/>
    </row>
    <row r="24" spans="7:39" ht="15" customHeight="1" x14ac:dyDescent="0.2">
      <c r="Y24" s="154"/>
      <c r="Z24" s="155"/>
      <c r="AA24" s="155"/>
      <c r="AB24" s="155"/>
      <c r="AC24" s="155"/>
      <c r="AD24" s="155"/>
      <c r="AE24" s="155"/>
      <c r="AF24" s="155"/>
      <c r="AG24" s="155"/>
      <c r="AH24" s="155"/>
      <c r="AI24" s="155"/>
      <c r="AJ24" s="155"/>
      <c r="AK24" s="155"/>
      <c r="AL24" s="155"/>
      <c r="AM24" s="47"/>
    </row>
    <row r="25" spans="7:39" ht="20.25" customHeight="1" x14ac:dyDescent="0.2">
      <c r="Y25" s="156" t="s">
        <v>23</v>
      </c>
      <c r="Z25" s="18" t="s">
        <v>24</v>
      </c>
      <c r="AA25" s="18" t="s">
        <v>25</v>
      </c>
      <c r="AB25" s="18" t="s">
        <v>26</v>
      </c>
      <c r="AC25" s="18" t="s">
        <v>27</v>
      </c>
      <c r="AD25" s="18" t="s">
        <v>28</v>
      </c>
      <c r="AE25" s="18" t="s">
        <v>29</v>
      </c>
      <c r="AF25" s="18" t="s">
        <v>30</v>
      </c>
      <c r="AG25" s="18" t="s">
        <v>31</v>
      </c>
      <c r="AH25" s="18" t="s">
        <v>32</v>
      </c>
      <c r="AI25" s="18" t="s">
        <v>33</v>
      </c>
      <c r="AJ25" s="18" t="s">
        <v>34</v>
      </c>
      <c r="AK25" s="18" t="s">
        <v>35</v>
      </c>
      <c r="AL25" s="19" t="s">
        <v>20</v>
      </c>
      <c r="AM25" s="47"/>
    </row>
    <row r="26" spans="7:39" ht="20.25" customHeight="1" x14ac:dyDescent="0.2">
      <c r="G26" s="133">
        <v>0.5</v>
      </c>
      <c r="H26" s="133">
        <v>1</v>
      </c>
      <c r="Y26" s="157"/>
      <c r="Z26" s="17" t="s">
        <v>36</v>
      </c>
      <c r="AA26" s="17" t="s">
        <v>36</v>
      </c>
      <c r="AB26" s="17" t="s">
        <v>36</v>
      </c>
      <c r="AC26" s="17" t="s">
        <v>36</v>
      </c>
      <c r="AD26" s="17" t="s">
        <v>36</v>
      </c>
      <c r="AE26" s="17" t="s">
        <v>36</v>
      </c>
      <c r="AF26" s="17" t="s">
        <v>36</v>
      </c>
      <c r="AG26" s="17" t="s">
        <v>36</v>
      </c>
      <c r="AH26" s="17" t="s">
        <v>36</v>
      </c>
      <c r="AI26" s="17" t="s">
        <v>36</v>
      </c>
      <c r="AJ26" s="17" t="s">
        <v>36</v>
      </c>
      <c r="AK26" s="17" t="s">
        <v>36</v>
      </c>
      <c r="AL26" s="17" t="s">
        <v>36</v>
      </c>
      <c r="AM26" s="47"/>
    </row>
    <row r="27" spans="7:39" ht="20.25" customHeight="1" x14ac:dyDescent="0.2">
      <c r="G27" s="1">
        <v>25000000</v>
      </c>
      <c r="H27" s="1">
        <f>H26/G26*G27</f>
        <v>50000000</v>
      </c>
      <c r="Y27" s="48" t="s">
        <v>37</v>
      </c>
      <c r="Z27" s="49">
        <v>1385507695</v>
      </c>
      <c r="AA27" s="49">
        <v>1278895218</v>
      </c>
      <c r="AB27" s="49">
        <v>1553567914</v>
      </c>
      <c r="AC27" s="49">
        <v>1498335904</v>
      </c>
      <c r="AD27" s="49">
        <v>1513880023</v>
      </c>
      <c r="AE27" s="49">
        <v>1485989484</v>
      </c>
      <c r="AF27" s="49">
        <v>1202244634</v>
      </c>
      <c r="AG27" s="49">
        <v>1288769316</v>
      </c>
      <c r="AH27" s="49">
        <v>1473730335</v>
      </c>
      <c r="AI27" s="49">
        <v>1549826183</v>
      </c>
      <c r="AJ27" s="49">
        <v>1525332695</v>
      </c>
      <c r="AK27" s="49">
        <v>1570156148</v>
      </c>
      <c r="AL27" s="41">
        <f t="shared" ref="AL27:AL29" si="2">SUM(Z27:AK27)</f>
        <v>17326235549</v>
      </c>
      <c r="AM27" s="47"/>
    </row>
    <row r="28" spans="7:39" ht="20.25" customHeight="1" x14ac:dyDescent="0.2">
      <c r="Y28" s="48" t="s">
        <v>38</v>
      </c>
      <c r="Z28" s="49">
        <v>1240219258.4195299</v>
      </c>
      <c r="AA28" s="49">
        <v>1197401745.0401101</v>
      </c>
      <c r="AB28" s="49">
        <v>1265483275.2829499</v>
      </c>
      <c r="AC28" s="49">
        <v>1333070616.9105799</v>
      </c>
      <c r="AD28" s="49">
        <v>1313834759.7397101</v>
      </c>
      <c r="AE28" s="49">
        <v>1228318489.5090098</v>
      </c>
      <c r="AF28" s="49">
        <v>1066084813.28306</v>
      </c>
      <c r="AG28" s="49">
        <v>1143888148.5901999</v>
      </c>
      <c r="AH28" s="49">
        <v>1297990406.0931401</v>
      </c>
      <c r="AI28" s="49">
        <v>1329996337.9634202</v>
      </c>
      <c r="AJ28" s="49">
        <v>1295071113.35763</v>
      </c>
      <c r="AK28" s="49">
        <v>1263656140.3652401</v>
      </c>
      <c r="AL28" s="42">
        <f t="shared" si="2"/>
        <v>14975015104.554581</v>
      </c>
      <c r="AM28" s="47"/>
    </row>
    <row r="29" spans="7:39" ht="20.25" customHeight="1" x14ac:dyDescent="0.2">
      <c r="Y29" s="48" t="s">
        <v>39</v>
      </c>
      <c r="Z29" s="49">
        <f t="shared" ref="Z29:AK29" si="3">Z27-Z28</f>
        <v>145288436.58047009</v>
      </c>
      <c r="AA29" s="49">
        <f t="shared" si="3"/>
        <v>81493472.959889889</v>
      </c>
      <c r="AB29" s="49">
        <f t="shared" si="3"/>
        <v>288084638.71705008</v>
      </c>
      <c r="AC29" s="49">
        <f t="shared" si="3"/>
        <v>165265287.08942008</v>
      </c>
      <c r="AD29" s="49">
        <f t="shared" si="3"/>
        <v>200045263.26028991</v>
      </c>
      <c r="AE29" s="49">
        <f t="shared" si="3"/>
        <v>257670994.49099016</v>
      </c>
      <c r="AF29" s="49">
        <f t="shared" si="3"/>
        <v>136159820.71694005</v>
      </c>
      <c r="AG29" s="49">
        <f t="shared" si="3"/>
        <v>144881167.40980005</v>
      </c>
      <c r="AH29" s="49">
        <f t="shared" si="3"/>
        <v>175739928.90685987</v>
      </c>
      <c r="AI29" s="49">
        <f t="shared" si="3"/>
        <v>219829845.03657985</v>
      </c>
      <c r="AJ29" s="49">
        <f t="shared" si="3"/>
        <v>230261581.64236999</v>
      </c>
      <c r="AK29" s="49">
        <f t="shared" si="3"/>
        <v>306500007.6347599</v>
      </c>
      <c r="AL29" s="41">
        <f t="shared" si="2"/>
        <v>2351220444.4454198</v>
      </c>
      <c r="AM29" s="47"/>
    </row>
    <row r="30" spans="7:39" ht="20.25" customHeight="1" thickBot="1" x14ac:dyDescent="0.25">
      <c r="Y30" s="50" t="s">
        <v>40</v>
      </c>
      <c r="Z30" s="51">
        <f>Z29/Z27</f>
        <v>0.1048629589750998</v>
      </c>
      <c r="AA30" s="51">
        <f t="shared" ref="AA30:AL30" si="4">AA29/AA27</f>
        <v>6.3721774710623624E-2</v>
      </c>
      <c r="AB30" s="51">
        <f t="shared" si="4"/>
        <v>0.18543420993763526</v>
      </c>
      <c r="AC30" s="51">
        <f t="shared" si="4"/>
        <v>0.11029922372428184</v>
      </c>
      <c r="AD30" s="51">
        <f t="shared" si="4"/>
        <v>0.13214076427527435</v>
      </c>
      <c r="AE30" s="51">
        <f t="shared" si="4"/>
        <v>0.1734002812707591</v>
      </c>
      <c r="AF30" s="51">
        <f t="shared" si="4"/>
        <v>0.11325467119276827</v>
      </c>
      <c r="AG30" s="51">
        <f t="shared" si="4"/>
        <v>0.11241823157263937</v>
      </c>
      <c r="AH30" s="51">
        <f t="shared" si="4"/>
        <v>0.11924836229068995</v>
      </c>
      <c r="AI30" s="51">
        <f t="shared" si="4"/>
        <v>0.14184161259364905</v>
      </c>
      <c r="AJ30" s="51">
        <f t="shared" si="4"/>
        <v>0.15095826792224498</v>
      </c>
      <c r="AK30" s="51">
        <f t="shared" si="4"/>
        <v>0.19520352037927372</v>
      </c>
      <c r="AL30" s="51">
        <f t="shared" si="4"/>
        <v>0.13570290198329449</v>
      </c>
      <c r="AM30" s="47"/>
    </row>
    <row r="31" spans="7:39" x14ac:dyDescent="0.2">
      <c r="AM31" s="47"/>
    </row>
    <row r="32" spans="7:39" ht="17" thickBot="1" x14ac:dyDescent="0.25">
      <c r="AM32" s="47"/>
    </row>
    <row r="33" spans="25:39" ht="15" customHeight="1" x14ac:dyDescent="0.2">
      <c r="Y33" s="152" t="s">
        <v>43</v>
      </c>
      <c r="Z33" s="153"/>
      <c r="AA33" s="153"/>
      <c r="AB33" s="153"/>
      <c r="AC33" s="153"/>
      <c r="AD33" s="153"/>
      <c r="AE33" s="153"/>
      <c r="AF33" s="153"/>
      <c r="AG33" s="153"/>
      <c r="AH33" s="153"/>
      <c r="AI33" s="153"/>
      <c r="AJ33" s="153"/>
      <c r="AK33" s="153"/>
      <c r="AL33" s="153"/>
      <c r="AM33" s="47"/>
    </row>
    <row r="34" spans="25:39" ht="15" customHeight="1" x14ac:dyDescent="0.2">
      <c r="Y34" s="154"/>
      <c r="Z34" s="155"/>
      <c r="AA34" s="155"/>
      <c r="AB34" s="155"/>
      <c r="AC34" s="155"/>
      <c r="AD34" s="155"/>
      <c r="AE34" s="155"/>
      <c r="AF34" s="155"/>
      <c r="AG34" s="155"/>
      <c r="AH34" s="155"/>
      <c r="AI34" s="155"/>
      <c r="AJ34" s="155"/>
      <c r="AK34" s="155"/>
      <c r="AL34" s="155"/>
      <c r="AM34" s="47"/>
    </row>
    <row r="35" spans="25:39" ht="20.25" customHeight="1" x14ac:dyDescent="0.2">
      <c r="Y35" s="156" t="s">
        <v>23</v>
      </c>
      <c r="Z35" s="18" t="s">
        <v>24</v>
      </c>
      <c r="AA35" s="18" t="s">
        <v>25</v>
      </c>
      <c r="AB35" s="18" t="s">
        <v>26</v>
      </c>
      <c r="AC35" s="18" t="s">
        <v>27</v>
      </c>
      <c r="AD35" s="18" t="s">
        <v>28</v>
      </c>
      <c r="AE35" s="18" t="s">
        <v>29</v>
      </c>
      <c r="AF35" s="18" t="s">
        <v>30</v>
      </c>
      <c r="AG35" s="18" t="s">
        <v>31</v>
      </c>
      <c r="AH35" s="18" t="s">
        <v>32</v>
      </c>
      <c r="AI35" s="18" t="s">
        <v>33</v>
      </c>
      <c r="AJ35" s="18" t="s">
        <v>34</v>
      </c>
      <c r="AK35" s="18" t="s">
        <v>35</v>
      </c>
      <c r="AL35" s="19" t="s">
        <v>20</v>
      </c>
      <c r="AM35" s="47"/>
    </row>
    <row r="36" spans="25:39" ht="20.25" customHeight="1" x14ac:dyDescent="0.2">
      <c r="Y36" s="157"/>
      <c r="Z36" s="17" t="s">
        <v>36</v>
      </c>
      <c r="AA36" s="17" t="s">
        <v>36</v>
      </c>
      <c r="AB36" s="17" t="s">
        <v>36</v>
      </c>
      <c r="AC36" s="17" t="s">
        <v>36</v>
      </c>
      <c r="AD36" s="17" t="s">
        <v>36</v>
      </c>
      <c r="AE36" s="17" t="s">
        <v>36</v>
      </c>
      <c r="AF36" s="17" t="s">
        <v>36</v>
      </c>
      <c r="AG36" s="17" t="s">
        <v>36</v>
      </c>
      <c r="AH36" s="17" t="s">
        <v>36</v>
      </c>
      <c r="AI36" s="17" t="s">
        <v>36</v>
      </c>
      <c r="AJ36" s="17" t="s">
        <v>36</v>
      </c>
      <c r="AK36" s="17" t="s">
        <v>36</v>
      </c>
      <c r="AL36" s="17" t="s">
        <v>36</v>
      </c>
      <c r="AM36" s="47"/>
    </row>
    <row r="37" spans="25:39" ht="20.25" customHeight="1" x14ac:dyDescent="0.2">
      <c r="Y37" s="48" t="s">
        <v>37</v>
      </c>
      <c r="Z37" s="49">
        <v>1527852327</v>
      </c>
      <c r="AA37" s="49">
        <v>1226812465</v>
      </c>
      <c r="AB37" s="49">
        <v>1466469354</v>
      </c>
      <c r="AC37" s="49">
        <v>1446350581</v>
      </c>
      <c r="AD37" s="49">
        <v>1485219611</v>
      </c>
      <c r="AE37" s="49">
        <v>1612400274</v>
      </c>
      <c r="AF37" s="49">
        <v>1665229226</v>
      </c>
      <c r="AG37" s="49">
        <v>1734078744</v>
      </c>
      <c r="AH37" s="49"/>
      <c r="AI37" s="49"/>
      <c r="AJ37" s="49"/>
      <c r="AK37" s="49"/>
      <c r="AL37" s="41">
        <f t="shared" ref="AL37:AL39" si="5">SUM(Z37:AK37)</f>
        <v>12164412582</v>
      </c>
      <c r="AM37" s="47"/>
    </row>
    <row r="38" spans="25:39" ht="20.25" customHeight="1" x14ac:dyDescent="0.2">
      <c r="Y38" s="48" t="s">
        <v>38</v>
      </c>
      <c r="Z38" s="49">
        <v>1236166307.58197</v>
      </c>
      <c r="AA38" s="49">
        <v>1030169987.7952399</v>
      </c>
      <c r="AB38" s="49">
        <v>1155845619.4536901</v>
      </c>
      <c r="AC38" s="49">
        <v>1207562673.16517</v>
      </c>
      <c r="AD38" s="49">
        <v>1249363782.98457</v>
      </c>
      <c r="AE38" s="49">
        <v>1285715886.2481</v>
      </c>
      <c r="AF38" s="49">
        <v>1357633776.09799</v>
      </c>
      <c r="AG38" s="49">
        <v>1325818183.7151198</v>
      </c>
      <c r="AH38" s="49">
        <v>1325818183.7151198</v>
      </c>
      <c r="AI38" s="49">
        <v>1325818183.7151198</v>
      </c>
      <c r="AJ38" s="49">
        <v>1325818183.7151198</v>
      </c>
      <c r="AK38" s="49">
        <v>1325818183.7151198</v>
      </c>
      <c r="AL38" s="42">
        <f t="shared" si="5"/>
        <v>15151548951.902332</v>
      </c>
      <c r="AM38" s="47"/>
    </row>
    <row r="39" spans="25:39" ht="20.25" customHeight="1" x14ac:dyDescent="0.2">
      <c r="Y39" s="48" t="s">
        <v>39</v>
      </c>
      <c r="Z39" s="49">
        <f t="shared" ref="Z39:AD39" si="6">Z37-Z38</f>
        <v>291686019.41803002</v>
      </c>
      <c r="AA39" s="49">
        <f t="shared" si="6"/>
        <v>196642477.20476007</v>
      </c>
      <c r="AB39" s="49">
        <f t="shared" si="6"/>
        <v>310623734.54630995</v>
      </c>
      <c r="AC39" s="49">
        <f t="shared" si="6"/>
        <v>238787907.83483005</v>
      </c>
      <c r="AD39" s="49">
        <f t="shared" si="6"/>
        <v>235855828.01542997</v>
      </c>
      <c r="AE39" s="52">
        <f>AE37-AE38</f>
        <v>326684387.75189996</v>
      </c>
      <c r="AF39" s="52">
        <f>AF37-AF38</f>
        <v>307595449.90200996</v>
      </c>
      <c r="AG39" s="52">
        <f>AG37-AG38</f>
        <v>408260560.28488016</v>
      </c>
      <c r="AH39" s="49"/>
      <c r="AI39" s="49"/>
      <c r="AJ39" s="49"/>
      <c r="AK39" s="49"/>
      <c r="AL39" s="41">
        <f t="shared" si="5"/>
        <v>2316136364.9581499</v>
      </c>
      <c r="AM39" s="47"/>
    </row>
    <row r="40" spans="25:39" ht="20.25" customHeight="1" thickBot="1" x14ac:dyDescent="0.25">
      <c r="Y40" s="50" t="s">
        <v>40</v>
      </c>
      <c r="Z40" s="51">
        <f>Z39/Z37</f>
        <v>0.19091244242875707</v>
      </c>
      <c r="AA40" s="51">
        <f t="shared" ref="AA40:AG40" si="7">AA39/AA37</f>
        <v>0.16028731596296591</v>
      </c>
      <c r="AB40" s="51">
        <f t="shared" si="7"/>
        <v>0.21181740600241003</v>
      </c>
      <c r="AC40" s="51">
        <f t="shared" si="7"/>
        <v>0.16509683818824425</v>
      </c>
      <c r="AD40" s="51">
        <f t="shared" si="7"/>
        <v>0.15880198878913804</v>
      </c>
      <c r="AE40" s="51">
        <f t="shared" si="7"/>
        <v>0.20260749952706841</v>
      </c>
      <c r="AF40" s="51">
        <f t="shared" si="7"/>
        <v>0.18471658141676764</v>
      </c>
      <c r="AG40" s="51">
        <f t="shared" si="7"/>
        <v>0.23543369163452485</v>
      </c>
      <c r="AH40" s="51"/>
      <c r="AI40" s="51"/>
      <c r="AJ40" s="51"/>
      <c r="AK40" s="51"/>
      <c r="AL40" s="51">
        <f>AL39/AL37</f>
        <v>0.19040264783401029</v>
      </c>
      <c r="AM40" s="47"/>
    </row>
  </sheetData>
  <mergeCells count="8">
    <mergeCell ref="Y33:AL34"/>
    <mergeCell ref="Y35:Y36"/>
    <mergeCell ref="Y3:AL4"/>
    <mergeCell ref="Y5:Y6"/>
    <mergeCell ref="Y13:AL14"/>
    <mergeCell ref="Y15:Y16"/>
    <mergeCell ref="Y23:AL24"/>
    <mergeCell ref="Y25:Y26"/>
  </mergeCells>
  <phoneticPr fontId="13" type="noConversion"/>
  <printOptions horizontalCentered="1"/>
  <pageMargins left="0.7" right="0.7" top="0.75" bottom="0.75" header="0.3" footer="0.3"/>
  <pageSetup paperSize="9" scale="20" orientation="landscape" horizontalDpi="0" verticalDpi="0"/>
  <headerFooter>
    <oddHeader>&amp;A</oddHeader>
  </headerFooter>
  <tableParts count="2">
    <tablePart r:id="rId1"/>
    <tablePart r:id="rId2"/>
  </tableParts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0EE6B7C7-6802-9D47-B81C-A48604A6CA6A}">
          <x14:colorSeries theme="5"/>
          <x14:colorNegative theme="6"/>
          <x14:colorAxis rgb="FF000000"/>
          <x14:colorMarkers theme="5" tint="-0.249977111117893"/>
          <x14:colorFirst theme="5" tint="-0.249977111117893"/>
          <x14:colorLast theme="5" tint="-0.249977111117893"/>
          <x14:colorHigh theme="5" tint="-0.249977111117893"/>
          <x14:colorLow theme="5" tint="-0.249977111117893"/>
          <x14:sparklines>
            <x14:sparkline>
              <xm:f>Listrik!C4:Q4</xm:f>
              <xm:sqref>R4</xm:sqref>
            </x14:sparkline>
          </x14:sparklines>
        </x14:sparklineGroup>
      </x14:sparklineGroup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6DC12-7A07-CD4B-A996-3D5288B26601}">
  <sheetPr>
    <pageSetUpPr fitToPage="1"/>
  </sheetPr>
  <dimension ref="B2:R15"/>
  <sheetViews>
    <sheetView showGridLines="0" topLeftCell="D1" zoomScale="115" workbookViewId="0">
      <selection activeCell="K10" sqref="K10"/>
    </sheetView>
  </sheetViews>
  <sheetFormatPr baseColWidth="10" defaultRowHeight="16" x14ac:dyDescent="0.2"/>
  <cols>
    <col min="1" max="1" width="10.83203125" style="1"/>
    <col min="2" max="2" width="10.83203125" style="23"/>
    <col min="3" max="5" width="7.83203125" style="1" customWidth="1"/>
    <col min="6" max="17" width="18.1640625" style="1" customWidth="1"/>
    <col min="18" max="16384" width="10.83203125" style="1"/>
  </cols>
  <sheetData>
    <row r="2" spans="2:18" x14ac:dyDescent="0.2">
      <c r="E2" s="33"/>
      <c r="F2" s="34"/>
      <c r="G2" s="34"/>
      <c r="H2" s="34"/>
      <c r="I2" s="34"/>
      <c r="J2" s="34"/>
      <c r="K2" s="70"/>
      <c r="L2" s="34"/>
      <c r="M2" s="34"/>
      <c r="N2" s="34"/>
      <c r="O2" s="34"/>
      <c r="P2" s="34"/>
      <c r="Q2" s="34"/>
    </row>
    <row r="3" spans="2:18" s="35" customFormat="1" ht="20" customHeight="1" x14ac:dyDescent="0.2">
      <c r="B3" s="6" t="s">
        <v>46</v>
      </c>
      <c r="C3" s="35" t="s">
        <v>57</v>
      </c>
      <c r="D3" s="35" t="s">
        <v>58</v>
      </c>
      <c r="E3" s="35" t="s">
        <v>59</v>
      </c>
      <c r="F3" s="35" t="s">
        <v>45</v>
      </c>
      <c r="G3" s="35" t="s">
        <v>9</v>
      </c>
      <c r="H3" s="35" t="s">
        <v>10</v>
      </c>
      <c r="I3" s="35" t="s">
        <v>11</v>
      </c>
      <c r="J3" s="35" t="s">
        <v>12</v>
      </c>
      <c r="K3" s="55" t="s">
        <v>13</v>
      </c>
      <c r="L3" s="56" t="s">
        <v>14</v>
      </c>
      <c r="M3" s="56" t="s">
        <v>15</v>
      </c>
      <c r="N3" s="56" t="s">
        <v>16</v>
      </c>
      <c r="O3" s="56" t="s">
        <v>17</v>
      </c>
      <c r="P3" s="56" t="s">
        <v>18</v>
      </c>
      <c r="Q3" s="56" t="s">
        <v>111</v>
      </c>
    </row>
    <row r="4" spans="2:18" ht="20" customHeight="1" x14ac:dyDescent="0.2">
      <c r="B4" s="23" t="s">
        <v>44</v>
      </c>
      <c r="F4" s="8">
        <v>13081484452</v>
      </c>
      <c r="G4" s="8">
        <v>14763193023.428572</v>
      </c>
      <c r="H4" s="8">
        <v>15159193023.428572</v>
      </c>
      <c r="I4" s="8">
        <v>15804583023.428572</v>
      </c>
      <c r="J4" s="8">
        <v>16399663023.428572</v>
      </c>
      <c r="K4" s="57"/>
      <c r="L4" s="58"/>
      <c r="M4" s="58"/>
      <c r="N4" s="58"/>
      <c r="O4" s="58"/>
      <c r="P4" s="58"/>
      <c r="Q4" s="58"/>
    </row>
    <row r="5" spans="2:18" ht="20" customHeight="1" x14ac:dyDescent="0.2">
      <c r="B5" s="23" t="s">
        <v>47</v>
      </c>
      <c r="F5" s="8">
        <v>1983860000.04</v>
      </c>
      <c r="G5" s="8">
        <v>1986260000.04</v>
      </c>
      <c r="H5" s="8">
        <v>2058260000.04</v>
      </c>
      <c r="I5" s="8">
        <v>2058260000.04</v>
      </c>
      <c r="J5" s="8">
        <v>2058260000.04</v>
      </c>
      <c r="K5" s="57"/>
      <c r="L5" s="58"/>
      <c r="M5" s="58"/>
      <c r="N5" s="58"/>
      <c r="O5" s="58"/>
      <c r="P5" s="58"/>
      <c r="Q5" s="58"/>
    </row>
    <row r="6" spans="2:18" ht="20" customHeight="1" x14ac:dyDescent="0.2">
      <c r="B6" s="23" t="s">
        <v>48</v>
      </c>
      <c r="F6" s="8">
        <v>958260000</v>
      </c>
      <c r="G6" s="8">
        <v>958260000</v>
      </c>
      <c r="H6" s="8">
        <v>958260000</v>
      </c>
      <c r="I6" s="8">
        <v>1018260000</v>
      </c>
      <c r="J6" s="8">
        <v>1018260000</v>
      </c>
      <c r="K6" s="57"/>
      <c r="L6" s="58"/>
      <c r="M6" s="58"/>
      <c r="N6" s="58"/>
      <c r="O6" s="58"/>
      <c r="P6" s="58"/>
      <c r="Q6" s="58"/>
    </row>
    <row r="7" spans="2:18" ht="20" customHeight="1" x14ac:dyDescent="0.2">
      <c r="B7" s="23" t="s">
        <v>49</v>
      </c>
      <c r="F7" s="8">
        <v>384000000</v>
      </c>
      <c r="G7" s="8">
        <v>384000000</v>
      </c>
      <c r="H7" s="8">
        <v>384000000</v>
      </c>
      <c r="I7" s="8">
        <v>384000000</v>
      </c>
      <c r="J7" s="8">
        <v>384000000</v>
      </c>
      <c r="K7" s="57"/>
      <c r="L7" s="58"/>
      <c r="M7" s="58"/>
      <c r="N7" s="58"/>
      <c r="O7" s="58"/>
      <c r="P7" s="58"/>
      <c r="Q7" s="58"/>
    </row>
    <row r="8" spans="2:18" ht="20" customHeight="1" x14ac:dyDescent="0.2">
      <c r="B8" s="23" t="s">
        <v>50</v>
      </c>
      <c r="F8" s="8">
        <v>33000000</v>
      </c>
      <c r="G8" s="8">
        <v>33000000</v>
      </c>
      <c r="H8" s="8">
        <v>33000000</v>
      </c>
      <c r="I8" s="8">
        <v>33000000</v>
      </c>
      <c r="J8" s="8">
        <v>33000000</v>
      </c>
      <c r="K8" s="57"/>
      <c r="L8" s="58"/>
      <c r="M8" s="58"/>
      <c r="N8" s="58"/>
      <c r="O8" s="58"/>
      <c r="P8" s="58"/>
      <c r="Q8" s="58"/>
    </row>
    <row r="9" spans="2:18" ht="20" customHeight="1" thickBot="1" x14ac:dyDescent="0.25">
      <c r="F9" s="8"/>
      <c r="G9" s="8"/>
      <c r="H9" s="8"/>
      <c r="I9" s="8"/>
      <c r="J9" s="8"/>
      <c r="K9" s="57"/>
      <c r="L9" s="58"/>
      <c r="M9" s="58"/>
      <c r="N9" s="58"/>
      <c r="O9" s="58"/>
      <c r="P9" s="58"/>
      <c r="Q9" s="58"/>
    </row>
    <row r="10" spans="2:18" ht="20" customHeight="1" thickBot="1" x14ac:dyDescent="0.25">
      <c r="B10" s="23" t="s">
        <v>20</v>
      </c>
      <c r="F10" s="9">
        <f>SUBTOTAL(109,Table3[2022])</f>
        <v>16440604452.040001</v>
      </c>
      <c r="G10" s="9">
        <f>SUBTOTAL(109,Table3[2023])</f>
        <v>18124713023.468571</v>
      </c>
      <c r="H10" s="9">
        <f>SUBTOTAL(109,Table3[2024])</f>
        <v>18592713023.468571</v>
      </c>
      <c r="I10" s="9">
        <f>SUBTOTAL(109,Table3[2025])</f>
        <v>19298103023.468571</v>
      </c>
      <c r="J10" s="9">
        <f>SUBTOTAL(109,Table3[2026])</f>
        <v>19893183023.468571</v>
      </c>
      <c r="K10" s="65">
        <f>Table3[[#Totals],[2026]]+K12</f>
        <v>20493183023.468571</v>
      </c>
      <c r="L10" s="66">
        <f>Table3[[#Totals],[2027]]+L12</f>
        <v>21093183023.468571</v>
      </c>
      <c r="M10" s="66">
        <f>Table3[[#Totals],[2028]]+M12</f>
        <v>21693183023.468571</v>
      </c>
      <c r="N10" s="66">
        <f>Table3[[#Totals],[2029]]+N12</f>
        <v>22293183023.468571</v>
      </c>
      <c r="O10" s="66">
        <f>Table3[[#Totals],[2030]]+O12</f>
        <v>22893183023.468571</v>
      </c>
      <c r="P10" s="66">
        <f>Table3[[#Totals],[2031]]+P12</f>
        <v>23493183023.468571</v>
      </c>
      <c r="Q10" s="66">
        <f>Table3[[#Totals],[2032]]+Q12</f>
        <v>24093183023.468571</v>
      </c>
      <c r="R10" s="69"/>
    </row>
    <row r="11" spans="2:18" ht="20" customHeight="1" x14ac:dyDescent="0.2">
      <c r="K11" s="59"/>
      <c r="L11" s="60"/>
      <c r="M11" s="60"/>
      <c r="N11" s="60"/>
      <c r="O11" s="60"/>
      <c r="P11" s="60"/>
      <c r="Q11" s="60"/>
    </row>
    <row r="12" spans="2:18" ht="20" customHeight="1" x14ac:dyDescent="0.2">
      <c r="B12" s="23" t="s">
        <v>75</v>
      </c>
      <c r="G12" s="9">
        <f>Table3[[#Totals],[2023]]-Table3[[#Totals],[2022]]</f>
        <v>1684108571.4285698</v>
      </c>
      <c r="H12" s="9">
        <f>Table3[[#Totals],[2024]]-Table3[[#Totals],[2023]]</f>
        <v>468000000</v>
      </c>
      <c r="I12" s="9">
        <f>Table3[[#Totals],[2025]]-Table3[[#Totals],[2024]]</f>
        <v>705390000</v>
      </c>
      <c r="J12" s="9">
        <f>Table3[[#Totals],[2026]]-Table3[[#Totals],[2025]]</f>
        <v>595080000</v>
      </c>
      <c r="K12" s="65">
        <v>600000000</v>
      </c>
      <c r="L12" s="66">
        <v>600000000</v>
      </c>
      <c r="M12" s="66">
        <v>600000000</v>
      </c>
      <c r="N12" s="66">
        <v>600000000</v>
      </c>
      <c r="O12" s="66">
        <v>600000000</v>
      </c>
      <c r="P12" s="66">
        <v>600000000</v>
      </c>
      <c r="Q12" s="66">
        <v>600000000</v>
      </c>
    </row>
    <row r="13" spans="2:18" ht="20" customHeight="1" x14ac:dyDescent="0.2"/>
    <row r="14" spans="2:18" ht="20" customHeight="1" x14ac:dyDescent="0.2"/>
    <row r="15" spans="2:18" ht="20" customHeight="1" x14ac:dyDescent="0.2">
      <c r="J15" s="67" t="s">
        <v>71</v>
      </c>
      <c r="K15" s="68" t="s">
        <v>72</v>
      </c>
    </row>
  </sheetData>
  <phoneticPr fontId="13" type="noConversion"/>
  <printOptions horizontalCentered="1"/>
  <pageMargins left="0.7" right="0.7" top="0.75" bottom="0.75" header="0.3" footer="0.3"/>
  <pageSetup paperSize="9" scale="48" orientation="landscape" horizontalDpi="0" verticalDpi="0"/>
  <headerFooter>
    <oddHeader>&amp;A</oddHeader>
  </headerFooter>
  <tableParts count="1">
    <tablePart r:id="rId1"/>
  </tableParts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2E6FB457-8602-7B4E-9F5E-FC8DAF9F259F}">
          <x14:colorSeries theme="5"/>
          <x14:colorNegative theme="6"/>
          <x14:colorAxis rgb="FF000000"/>
          <x14:colorMarkers theme="5" tint="-0.249977111117893"/>
          <x14:colorFirst theme="5" tint="-0.249977111117893"/>
          <x14:colorLast theme="5" tint="-0.249977111117893"/>
          <x14:colorHigh theme="5" tint="-0.249977111117893"/>
          <x14:colorLow theme="5" tint="-0.249977111117893"/>
          <x14:sparklines>
            <x14:sparkline>
              <xm:f>IT!C10:P10</xm:f>
              <xm:sqref>R10</xm:sqref>
            </x14:sparkline>
          </x14:sparklines>
        </x14:sparklineGroup>
      </x14:sparklineGroup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DFD6F6-6879-5349-9B08-2B5BECC68B7E}">
  <sheetPr>
    <pageSetUpPr fitToPage="1"/>
  </sheetPr>
  <dimension ref="B2:R19"/>
  <sheetViews>
    <sheetView showGridLines="0" topLeftCell="B1" zoomScale="109" workbookViewId="0">
      <selection activeCell="J37" sqref="J37"/>
    </sheetView>
  </sheetViews>
  <sheetFormatPr baseColWidth="10" defaultRowHeight="16" x14ac:dyDescent="0.2"/>
  <cols>
    <col min="1" max="1" width="10.83203125" style="1"/>
    <col min="2" max="2" width="32.33203125" style="1" bestFit="1" customWidth="1"/>
    <col min="3" max="5" width="7.6640625" style="1" customWidth="1"/>
    <col min="6" max="11" width="17.5" style="1" customWidth="1"/>
    <col min="12" max="13" width="17" style="1" bestFit="1" customWidth="1"/>
    <col min="14" max="15" width="17.5" style="1" customWidth="1"/>
    <col min="16" max="17" width="18.1640625" style="1" bestFit="1" customWidth="1"/>
    <col min="18" max="16384" width="10.83203125" style="1"/>
  </cols>
  <sheetData>
    <row r="2" spans="2:18" x14ac:dyDescent="0.2">
      <c r="E2" s="33" t="s">
        <v>55</v>
      </c>
      <c r="F2" s="34">
        <f>Summary!$D$4</f>
        <v>0.81121612770824147</v>
      </c>
      <c r="G2" s="34">
        <f>Summary!$E$4</f>
        <v>0.89627449309068341</v>
      </c>
      <c r="H2" s="53">
        <f>Summary!$F$4</f>
        <v>0.89621466651914994</v>
      </c>
      <c r="I2" s="54">
        <f>Summary!$G$4</f>
        <v>0.89224538308143131</v>
      </c>
      <c r="J2" s="54">
        <f>Summary!$H$4</f>
        <v>0.88126037349636632</v>
      </c>
      <c r="K2" s="54">
        <f>Summary!$I$4</f>
        <v>0.88348404518333434</v>
      </c>
      <c r="L2" s="54">
        <f>Summary!$J$4</f>
        <v>0.89473902374484471</v>
      </c>
      <c r="M2" s="54">
        <f>Summary!$K$4</f>
        <v>0.88880335140849887</v>
      </c>
      <c r="N2" s="54">
        <f>Summary!$L$4</f>
        <v>0.900598560100347</v>
      </c>
      <c r="O2" s="54">
        <f>Summary!$M$4</f>
        <v>0.900598560100347</v>
      </c>
      <c r="P2" s="54">
        <f>Summary!$N$4</f>
        <v>0.900598560100347</v>
      </c>
      <c r="Q2" s="54">
        <f>Summary!$N$4</f>
        <v>0.900598560100347</v>
      </c>
    </row>
    <row r="3" spans="2:18" s="35" customFormat="1" ht="20" customHeight="1" x14ac:dyDescent="0.2">
      <c r="B3" s="35" t="s">
        <v>46</v>
      </c>
      <c r="C3" s="35" t="s">
        <v>117</v>
      </c>
      <c r="D3" s="35" t="s">
        <v>118</v>
      </c>
      <c r="E3" s="35" t="s">
        <v>116</v>
      </c>
      <c r="F3" s="35" t="s">
        <v>45</v>
      </c>
      <c r="G3" s="35" t="s">
        <v>9</v>
      </c>
      <c r="H3" s="55" t="s">
        <v>10</v>
      </c>
      <c r="I3" s="56" t="s">
        <v>11</v>
      </c>
      <c r="J3" s="56" t="s">
        <v>12</v>
      </c>
      <c r="K3" s="56" t="s">
        <v>13</v>
      </c>
      <c r="L3" s="56" t="s">
        <v>14</v>
      </c>
      <c r="M3" s="56" t="s">
        <v>15</v>
      </c>
      <c r="N3" s="56" t="s">
        <v>16</v>
      </c>
      <c r="O3" s="56" t="s">
        <v>17</v>
      </c>
      <c r="P3" s="56" t="s">
        <v>18</v>
      </c>
      <c r="Q3" s="56" t="s">
        <v>111</v>
      </c>
    </row>
    <row r="4" spans="2:18" ht="20" customHeight="1" x14ac:dyDescent="0.2">
      <c r="B4" s="1" t="s">
        <v>51</v>
      </c>
      <c r="C4" s="133">
        <v>0.02</v>
      </c>
      <c r="D4" s="133">
        <v>0.02</v>
      </c>
      <c r="F4" s="8">
        <v>2119520000</v>
      </c>
      <c r="G4" s="8">
        <v>2564398500</v>
      </c>
      <c r="H4" s="57">
        <v>2677793528</v>
      </c>
      <c r="I4" s="66">
        <f>Table4[[#This Row],[2024]]*(100%+Table4[[#This Row],[Inc1]])</f>
        <v>2731349398.5599999</v>
      </c>
      <c r="J4" s="66">
        <f>Table4[[#This Row],[2025]]*(100%+Table4[[#This Row],[Inc2]])</f>
        <v>2785976386.5311999</v>
      </c>
      <c r="K4" s="66">
        <f>Table4[[#This Row],[2026]]*(100%+Table4[[#This Row],[Inc2]])</f>
        <v>2841695914.2618241</v>
      </c>
      <c r="L4" s="66">
        <f>Table4[[#This Row],[2027]]*(100%+Table4[[#This Row],[Inc2]])</f>
        <v>2898529832.5470605</v>
      </c>
      <c r="M4" s="66">
        <f>Table4[[#This Row],[2028]]*(100%+Table4[[#This Row],[Inc2]])</f>
        <v>2956500429.1980019</v>
      </c>
      <c r="N4" s="66">
        <f>Table4[[#This Row],[2029]]*(100%+Table4[[#This Row],[Inc2]])</f>
        <v>3015630437.7819619</v>
      </c>
      <c r="O4" s="66">
        <f>Table4[[#This Row],[2030]]*(100%+Table4[[#This Row],[Inc2]])</f>
        <v>3075943046.537601</v>
      </c>
      <c r="P4" s="66">
        <f>Table4[[#This Row],[2031]]*(100%+Table4[[#This Row],[Inc2]])</f>
        <v>3137461907.4683533</v>
      </c>
      <c r="Q4" s="66">
        <f>Table4[[#This Row],[2032]]*(100%+Table4[[#This Row],[Inc2]])</f>
        <v>3200211145.6177206</v>
      </c>
    </row>
    <row r="5" spans="2:18" ht="20" customHeight="1" x14ac:dyDescent="0.2">
      <c r="B5" s="1" t="s">
        <v>52</v>
      </c>
      <c r="C5" s="133">
        <v>0.02</v>
      </c>
      <c r="D5" s="133">
        <v>0.02</v>
      </c>
      <c r="F5" s="8">
        <v>1175988000</v>
      </c>
      <c r="G5" s="8">
        <v>1279719000</v>
      </c>
      <c r="H5" s="57">
        <v>1300040920</v>
      </c>
      <c r="I5" s="66">
        <f>Table4[[#This Row],[2024]]*(100%+Table4[[#This Row],[Inc1]])</f>
        <v>1326041738.4000001</v>
      </c>
      <c r="J5" s="66">
        <f>Table4[[#This Row],[2025]]*(100%+Table4[[#This Row],[Inc2]])</f>
        <v>1352562573.1680002</v>
      </c>
      <c r="K5" s="66">
        <f>Table4[[#This Row],[2026]]*(100%+Table4[[#This Row],[Inc2]])</f>
        <v>1379613824.6313603</v>
      </c>
      <c r="L5" s="66">
        <f>Table4[[#This Row],[2027]]*(100%+Table4[[#This Row],[Inc2]])</f>
        <v>1407206101.1239874</v>
      </c>
      <c r="M5" s="66">
        <f>Table4[[#This Row],[2028]]*(100%+Table4[[#This Row],[Inc2]])</f>
        <v>1435350223.1464672</v>
      </c>
      <c r="N5" s="66">
        <f>Table4[[#This Row],[2029]]*(100%+Table4[[#This Row],[Inc2]])</f>
        <v>1464057227.6093967</v>
      </c>
      <c r="O5" s="66">
        <f>Table4[[#This Row],[2030]]*(100%+Table4[[#This Row],[Inc2]])</f>
        <v>1493338372.1615846</v>
      </c>
      <c r="P5" s="66">
        <f>Table4[[#This Row],[2031]]*(100%+Table4[[#This Row],[Inc2]])</f>
        <v>1523205139.6048164</v>
      </c>
      <c r="Q5" s="66">
        <f>Table4[[#This Row],[2032]]*(100%+Table4[[#This Row],[Inc2]])</f>
        <v>1553669242.3969128</v>
      </c>
    </row>
    <row r="6" spans="2:18" ht="20" customHeight="1" x14ac:dyDescent="0.2">
      <c r="B6" s="1" t="s">
        <v>53</v>
      </c>
      <c r="C6" s="133">
        <v>0.05</v>
      </c>
      <c r="D6" s="133">
        <v>0.02</v>
      </c>
      <c r="F6" s="8">
        <v>2194183139</v>
      </c>
      <c r="G6" s="8">
        <v>2656100000</v>
      </c>
      <c r="H6" s="57">
        <v>3494800000</v>
      </c>
      <c r="I6" s="66">
        <f>Table4[[#This Row],[2024]]*(100%+Table4[[#This Row],[Inc1]])</f>
        <v>3669540000</v>
      </c>
      <c r="J6" s="66">
        <f>Table4[[#This Row],[2025]]*(100%+Table4[[#This Row],[Inc2]])</f>
        <v>3742930800</v>
      </c>
      <c r="K6" s="66">
        <f>Table4[[#This Row],[2026]]*(100%+Table4[[#This Row],[Inc2]])</f>
        <v>3817789416</v>
      </c>
      <c r="L6" s="66">
        <f>Table4[[#This Row],[2027]]*(100%+Table4[[#This Row],[Inc2]])</f>
        <v>3894145204.3200002</v>
      </c>
      <c r="M6" s="66">
        <f>Table4[[#This Row],[2028]]*(100%+Table4[[#This Row],[Inc2]])</f>
        <v>3972028108.4064002</v>
      </c>
      <c r="N6" s="66">
        <f>Table4[[#This Row],[2029]]*(100%+Table4[[#This Row],[Inc2]])</f>
        <v>4051468670.5745282</v>
      </c>
      <c r="O6" s="66">
        <f>Table4[[#This Row],[2030]]*(100%+Table4[[#This Row],[Inc2]])</f>
        <v>4132498043.9860187</v>
      </c>
      <c r="P6" s="66">
        <f>Table4[[#This Row],[2031]]*(100%+Table4[[#This Row],[Inc2]])</f>
        <v>4215148004.8657389</v>
      </c>
      <c r="Q6" s="66">
        <f>Table4[[#This Row],[2032]]*(100%+Table4[[#This Row],[Inc2]])</f>
        <v>4299450964.9630537</v>
      </c>
    </row>
    <row r="7" spans="2:18" ht="20" customHeight="1" thickBot="1" x14ac:dyDescent="0.25">
      <c r="B7" s="1" t="s">
        <v>54</v>
      </c>
      <c r="C7" s="133">
        <v>0.05</v>
      </c>
      <c r="D7" s="133">
        <v>0.02</v>
      </c>
      <c r="F7" s="8">
        <v>657930000</v>
      </c>
      <c r="G7" s="8">
        <v>778680000</v>
      </c>
      <c r="H7" s="57">
        <v>988800000</v>
      </c>
      <c r="I7" s="66">
        <f>Table4[[#This Row],[2024]]*(100%+Table4[[#This Row],[Inc1]])</f>
        <v>1038240000</v>
      </c>
      <c r="J7" s="66">
        <f>Table4[[#This Row],[2025]]*(100%+Table4[[#This Row],[Inc2]])</f>
        <v>1059004800</v>
      </c>
      <c r="K7" s="66">
        <f>Table4[[#This Row],[2026]]*(100%+Table4[[#This Row],[Inc2]])</f>
        <v>1080184896</v>
      </c>
      <c r="L7" s="66">
        <f>Table4[[#This Row],[2027]]*(100%+Table4[[#This Row],[Inc2]])</f>
        <v>1101788593.9200001</v>
      </c>
      <c r="M7" s="66">
        <f>Table4[[#This Row],[2028]]*(100%+Table4[[#This Row],[Inc2]])</f>
        <v>1123824365.7984002</v>
      </c>
      <c r="N7" s="66">
        <f>Table4[[#This Row],[2029]]*(100%+Table4[[#This Row],[Inc2]])</f>
        <v>1146300853.1143682</v>
      </c>
      <c r="O7" s="66">
        <f>Table4[[#This Row],[2030]]*(100%+Table4[[#This Row],[Inc2]])</f>
        <v>1169226870.1766555</v>
      </c>
      <c r="P7" s="66">
        <f>Table4[[#This Row],[2031]]*(100%+Table4[[#This Row],[Inc2]])</f>
        <v>1192611407.5801888</v>
      </c>
      <c r="Q7" s="66">
        <f>Table4[[#This Row],[2032]]*(100%+Table4[[#This Row],[Inc2]])</f>
        <v>1216463635.7317924</v>
      </c>
    </row>
    <row r="8" spans="2:18" ht="20" customHeight="1" thickBot="1" x14ac:dyDescent="0.25">
      <c r="B8" s="1" t="s">
        <v>20</v>
      </c>
      <c r="F8" s="9">
        <f>SUBTOTAL(109,Table4[2022])</f>
        <v>6147621139</v>
      </c>
      <c r="G8" s="9">
        <f>SUBTOTAL(109,Table4[2023])</f>
        <v>7278897500</v>
      </c>
      <c r="H8" s="71">
        <f>SUBTOTAL(109,Table4[2024])</f>
        <v>8461434448</v>
      </c>
      <c r="I8" s="72">
        <f>SUBTOTAL(109,Table4[2025])</f>
        <v>8765171136.9599991</v>
      </c>
      <c r="J8" s="72">
        <f>SUBTOTAL(109,Table4[2026])</f>
        <v>8940474559.6991997</v>
      </c>
      <c r="K8" s="72">
        <f>SUBTOTAL(109,Table4[2027])</f>
        <v>9119284050.8931847</v>
      </c>
      <c r="L8" s="72">
        <f>SUBTOTAL(109,Table4[2028])</f>
        <v>9301669731.9110489</v>
      </c>
      <c r="M8" s="72">
        <f>SUBTOTAL(109,Table4[2029])</f>
        <v>9487703126.5492706</v>
      </c>
      <c r="N8" s="72">
        <f>SUBTOTAL(109,Table4[2030])</f>
        <v>9677457189.0802555</v>
      </c>
      <c r="O8" s="72">
        <f>SUBTOTAL(109,Table4[2031])</f>
        <v>9871006332.8618584</v>
      </c>
      <c r="P8" s="72">
        <f>SUBTOTAL(109,Table4[2032])</f>
        <v>10068426459.519096</v>
      </c>
      <c r="Q8" s="72">
        <f>SUBTOTAL(109,Table4[2033])</f>
        <v>10269794988.70948</v>
      </c>
      <c r="R8" s="69"/>
    </row>
    <row r="9" spans="2:18" ht="20" customHeight="1" x14ac:dyDescent="0.2">
      <c r="C9" s="8"/>
      <c r="D9" s="8"/>
      <c r="H9" s="59"/>
      <c r="I9" s="60"/>
      <c r="J9" s="60"/>
      <c r="K9" s="60"/>
      <c r="L9" s="60"/>
      <c r="M9" s="60"/>
      <c r="N9" s="60"/>
      <c r="O9" s="60"/>
      <c r="P9" s="60"/>
      <c r="Q9" s="60"/>
    </row>
    <row r="10" spans="2:18" ht="20" customHeight="1" x14ac:dyDescent="0.2">
      <c r="C10" s="8"/>
      <c r="D10" s="8"/>
      <c r="H10" s="63" t="s">
        <v>69</v>
      </c>
      <c r="I10" s="64" t="s">
        <v>70</v>
      </c>
      <c r="J10" s="60"/>
      <c r="K10" s="60"/>
      <c r="L10" s="60"/>
      <c r="M10" s="60"/>
      <c r="N10" s="60"/>
      <c r="O10" s="60"/>
      <c r="P10" s="60"/>
      <c r="Q10" s="60"/>
    </row>
    <row r="11" spans="2:18" ht="20" customHeight="1" x14ac:dyDescent="0.2">
      <c r="C11" s="8"/>
      <c r="D11" s="8"/>
      <c r="H11" s="65">
        <f>Table4[[#Totals],[2023]]-Table4[[#Totals],[2022]]</f>
        <v>1131276361</v>
      </c>
      <c r="I11" s="66">
        <f>H11/(H10*100)</f>
        <v>481394196.17021275</v>
      </c>
      <c r="J11" s="60"/>
      <c r="K11" s="60"/>
      <c r="L11" s="60"/>
      <c r="M11" s="60"/>
      <c r="N11" s="60"/>
      <c r="O11" s="60"/>
      <c r="P11" s="60"/>
      <c r="Q11" s="60"/>
    </row>
    <row r="12" spans="2:18" ht="20" customHeight="1" x14ac:dyDescent="0.2">
      <c r="C12" s="8"/>
      <c r="D12" s="8"/>
      <c r="H12" s="59"/>
      <c r="I12" s="60"/>
      <c r="J12" s="60"/>
      <c r="K12" s="60"/>
      <c r="L12" s="60"/>
      <c r="M12" s="60"/>
      <c r="N12" s="60"/>
      <c r="O12" s="60"/>
      <c r="P12" s="60"/>
      <c r="Q12" s="60"/>
    </row>
    <row r="13" spans="2:18" ht="20" customHeight="1" x14ac:dyDescent="0.2">
      <c r="C13" s="8"/>
      <c r="D13" s="8"/>
    </row>
    <row r="14" spans="2:18" ht="20" customHeight="1" x14ac:dyDescent="0.2">
      <c r="G14" s="67" t="s">
        <v>79</v>
      </c>
      <c r="H14" s="68" t="s">
        <v>72</v>
      </c>
    </row>
    <row r="19" spans="6:7" x14ac:dyDescent="0.2">
      <c r="F19" s="1" t="s">
        <v>82</v>
      </c>
      <c r="G19" s="47">
        <v>3533403600</v>
      </c>
    </row>
  </sheetData>
  <phoneticPr fontId="13" type="noConversion"/>
  <printOptions horizontalCentered="1"/>
  <pageMargins left="0.7" right="0.7" top="0.75" bottom="0.75" header="0.3" footer="0.3"/>
  <pageSetup paperSize="9" scale="45" orientation="landscape" horizontalDpi="0" verticalDpi="0"/>
  <headerFooter>
    <oddHeader>&amp;A</oddHeader>
  </headerFooter>
  <tableParts count="2">
    <tablePart r:id="rId1"/>
    <tablePart r:id="rId2"/>
  </tableParts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EC1C1B45-CED4-4748-8DA8-96829A57837B}">
          <x14:colorSeries theme="5"/>
          <x14:colorNegative theme="6"/>
          <x14:colorAxis rgb="FF000000"/>
          <x14:colorMarkers theme="5" tint="-0.249977111117893"/>
          <x14:colorFirst theme="5" tint="-0.249977111117893"/>
          <x14:colorLast theme="5" tint="-0.249977111117893"/>
          <x14:colorHigh theme="5" tint="-0.249977111117893"/>
          <x14:colorLow theme="5" tint="-0.249977111117893"/>
          <x14:sparklines>
            <x14:sparkline>
              <xm:f>Parkir!C8:P8</xm:f>
              <xm:sqref>R8</xm:sqref>
            </x14:sparkline>
          </x14:sparklines>
        </x14:sparklineGroup>
      </x14:sparklineGroup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3</vt:i4>
      </vt:variant>
    </vt:vector>
  </HeadingPairs>
  <TitlesOfParts>
    <vt:vector size="15" baseType="lpstr">
      <vt:lpstr>Summary</vt:lpstr>
      <vt:lpstr>TE Office (y)</vt:lpstr>
      <vt:lpstr>TE All % (y)</vt:lpstr>
      <vt:lpstr>TE Office (m)</vt:lpstr>
      <vt:lpstr>TE All % (m)</vt:lpstr>
      <vt:lpstr>In-Out 2023 - old</vt:lpstr>
      <vt:lpstr>Ampera</vt:lpstr>
      <vt:lpstr>SH</vt:lpstr>
      <vt:lpstr>Dago</vt:lpstr>
      <vt:lpstr>Listrik</vt:lpstr>
      <vt:lpstr>IT</vt:lpstr>
      <vt:lpstr>Parkir</vt:lpstr>
      <vt:lpstr>Summary!Print_Area</vt:lpstr>
      <vt:lpstr>'TE All % (m)'!Print_Area</vt:lpstr>
      <vt:lpstr>'TE Office (m)'!Print_Area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Samawi Samadikun</cp:lastModifiedBy>
  <cp:lastPrinted>2023-10-03T04:32:06Z</cp:lastPrinted>
  <dcterms:created xsi:type="dcterms:W3CDTF">2022-09-06T10:21:49Z</dcterms:created>
  <dcterms:modified xsi:type="dcterms:W3CDTF">2023-10-03T17:08:32Z</dcterms:modified>
</cp:coreProperties>
</file>