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an/Development/office/revenue-streamlit/"/>
    </mc:Choice>
  </mc:AlternateContent>
  <xr:revisionPtr revIDLastSave="0" documentId="13_ncr:1_{E68DE151-CDDC-E549-B851-46E9F5C23134}" xr6:coauthVersionLast="47" xr6:coauthVersionMax="47" xr10:uidLastSave="{00000000-0000-0000-0000-000000000000}"/>
  <bookViews>
    <workbookView xWindow="0" yWindow="880" windowWidth="36000" windowHeight="22500" xr2:uid="{9DA9C85C-0230-484A-A9A5-3ABA148F8E1D}"/>
  </bookViews>
  <sheets>
    <sheet name="Summary" sheetId="1" r:id="rId1"/>
    <sheet name="TE Office" sheetId="7" r:id="rId2"/>
    <sheet name="Ampera" sheetId="6" r:id="rId3"/>
    <sheet name="Listrik" sheetId="2" r:id="rId4"/>
    <sheet name="IT" sheetId="3" r:id="rId5"/>
    <sheet name="Parki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L27" i="1"/>
  <c r="M27" i="1"/>
  <c r="M36" i="1" s="1"/>
  <c r="C27" i="1"/>
  <c r="D34" i="1"/>
  <c r="E34" i="1"/>
  <c r="F34" i="1"/>
  <c r="G34" i="1"/>
  <c r="H34" i="1"/>
  <c r="I34" i="1"/>
  <c r="J34" i="1"/>
  <c r="K34" i="1"/>
  <c r="L34" i="1"/>
  <c r="M34" i="1"/>
  <c r="C34" i="1"/>
  <c r="C20" i="1"/>
  <c r="M31" i="1"/>
  <c r="L31" i="1"/>
  <c r="K31" i="1"/>
  <c r="J31" i="1"/>
  <c r="I31" i="1"/>
  <c r="H31" i="1"/>
  <c r="G31" i="1"/>
  <c r="F31" i="1"/>
  <c r="E31" i="1"/>
  <c r="D31" i="1"/>
  <c r="C31" i="1"/>
  <c r="M30" i="1"/>
  <c r="L30" i="1"/>
  <c r="K30" i="1"/>
  <c r="J30" i="1"/>
  <c r="I30" i="1"/>
  <c r="H30" i="1"/>
  <c r="G30" i="1"/>
  <c r="F30" i="1"/>
  <c r="E30" i="1"/>
  <c r="D30" i="1"/>
  <c r="C30" i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I36" i="1" s="1"/>
  <c r="H29" i="1" a="1"/>
  <c r="H29" i="1" s="1"/>
  <c r="H36" i="1" s="1"/>
  <c r="G29" i="1" a="1"/>
  <c r="G29" i="1" s="1"/>
  <c r="F29" i="1" a="1"/>
  <c r="F29" i="1" s="1"/>
  <c r="F36" i="1" s="1"/>
  <c r="E29" i="1" a="1"/>
  <c r="E29" i="1" s="1"/>
  <c r="E36" i="1" s="1"/>
  <c r="D29" i="1" a="1"/>
  <c r="D29" i="1" s="1"/>
  <c r="C29" i="1" a="1"/>
  <c r="C29" i="1" s="1"/>
  <c r="L36" i="1"/>
  <c r="K36" i="1"/>
  <c r="J36" i="1"/>
  <c r="C36" i="1"/>
  <c r="D36" i="1" l="1"/>
  <c r="G36" i="1"/>
  <c r="H11" i="4"/>
  <c r="I11" i="4" s="1"/>
  <c r="D20" i="1"/>
  <c r="E20" i="1"/>
  <c r="F20" i="1"/>
  <c r="G20" i="1"/>
  <c r="H20" i="1"/>
  <c r="I20" i="1"/>
  <c r="J20" i="1"/>
  <c r="K20" i="1"/>
  <c r="L20" i="1"/>
  <c r="M20" i="1"/>
  <c r="L10" i="3"/>
  <c r="M10" i="3" s="1"/>
  <c r="N10" i="3" s="1"/>
  <c r="O10" i="3" s="1"/>
  <c r="P10" i="3" s="1"/>
  <c r="K10" i="3"/>
  <c r="H12" i="3"/>
  <c r="I12" i="3"/>
  <c r="J12" i="3"/>
  <c r="G12" i="3"/>
  <c r="H9" i="2"/>
  <c r="G9" i="2" a="1"/>
  <c r="G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D17" i="1" l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K16" i="1"/>
  <c r="L16" i="1"/>
  <c r="M16" i="1"/>
  <c r="C16" i="1"/>
  <c r="F10" i="3"/>
  <c r="C4" i="6"/>
  <c r="D4" i="6"/>
  <c r="E4" i="6"/>
  <c r="C10" i="6"/>
  <c r="F4" i="6" s="1"/>
  <c r="I4" i="6"/>
  <c r="J4" i="6"/>
  <c r="K4" i="6"/>
  <c r="L4" i="6"/>
  <c r="M4" i="6"/>
  <c r="N4" i="6"/>
  <c r="C14" i="6"/>
  <c r="AF41" i="6"/>
  <c r="AF42" i="6" s="1"/>
  <c r="AE41" i="6"/>
  <c r="AE42" i="6" s="1"/>
  <c r="AD41" i="6"/>
  <c r="AD42" i="6" s="1"/>
  <c r="AC41" i="6"/>
  <c r="AC42" i="6" s="1"/>
  <c r="AB41" i="6"/>
  <c r="AB42" i="6" s="1"/>
  <c r="AA41" i="6"/>
  <c r="AA42" i="6" s="1"/>
  <c r="Z41" i="6"/>
  <c r="Z42" i="6" s="1"/>
  <c r="Y41" i="6"/>
  <c r="Y42" i="6" s="1"/>
  <c r="AK40" i="6"/>
  <c r="AK39" i="6"/>
  <c r="AE32" i="6"/>
  <c r="AC32" i="6"/>
  <c r="AJ31" i="6"/>
  <c r="AJ32" i="6" s="1"/>
  <c r="AI31" i="6"/>
  <c r="AI32" i="6" s="1"/>
  <c r="AH31" i="6"/>
  <c r="AH32" i="6" s="1"/>
  <c r="AG31" i="6"/>
  <c r="AG32" i="6" s="1"/>
  <c r="AF31" i="6"/>
  <c r="AF32" i="6" s="1"/>
  <c r="AE31" i="6"/>
  <c r="AD31" i="6"/>
  <c r="AD32" i="6" s="1"/>
  <c r="AC31" i="6"/>
  <c r="AB31" i="6"/>
  <c r="AB32" i="6" s="1"/>
  <c r="AA31" i="6"/>
  <c r="AA32" i="6" s="1"/>
  <c r="Z31" i="6"/>
  <c r="Z32" i="6" s="1"/>
  <c r="Y31" i="6"/>
  <c r="AK30" i="6"/>
  <c r="AK29" i="6"/>
  <c r="AK21" i="6"/>
  <c r="AK20" i="6"/>
  <c r="AK19" i="6"/>
  <c r="AK10" i="6"/>
  <c r="AK9" i="6"/>
  <c r="AK8" i="6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H8" i="4" l="1"/>
  <c r="I8" i="4" s="1"/>
  <c r="H4" i="2"/>
  <c r="I4" i="2" s="1"/>
  <c r="P4" i="6"/>
  <c r="G4" i="6"/>
  <c r="G5" i="6" s="1"/>
  <c r="O4" i="6"/>
  <c r="C22" i="1"/>
  <c r="AK41" i="6"/>
  <c r="AK42" i="6" s="1"/>
  <c r="AK31" i="6"/>
  <c r="AK32" i="6" s="1"/>
  <c r="H4" i="6"/>
  <c r="Y32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E15" i="1" l="1" a="1"/>
  <c r="E15" i="1" s="1"/>
  <c r="E17" i="1"/>
  <c r="J4" i="2"/>
  <c r="F15" i="1" a="1"/>
  <c r="F15" i="1" s="1"/>
  <c r="J8" i="4"/>
  <c r="F17" i="1"/>
  <c r="AK29" i="2"/>
  <c r="AK30" i="2" s="1"/>
  <c r="AK39" i="2"/>
  <c r="AK40" i="2" s="1"/>
  <c r="K8" i="4" l="1"/>
  <c r="G17" i="1"/>
  <c r="K4" i="2"/>
  <c r="G15" i="1" a="1"/>
  <c r="G15" i="1" s="1"/>
  <c r="G22" i="1"/>
  <c r="F22" i="1"/>
  <c r="E22" i="1"/>
  <c r="D22" i="1"/>
  <c r="L4" i="2" l="1"/>
  <c r="H15" i="1" a="1"/>
  <c r="H15" i="1" s="1"/>
  <c r="L8" i="4"/>
  <c r="H17" i="1"/>
  <c r="M8" i="4" l="1"/>
  <c r="I17" i="1"/>
  <c r="H22" i="1"/>
  <c r="M4" i="2"/>
  <c r="I15" i="1" a="1"/>
  <c r="I15" i="1" s="1"/>
  <c r="I22" i="1" s="1"/>
  <c r="N4" i="2" l="1"/>
  <c r="J15" i="1" a="1"/>
  <c r="J15" i="1" s="1"/>
  <c r="N8" i="4"/>
  <c r="J17" i="1"/>
  <c r="O8" i="4" l="1"/>
  <c r="K17" i="1"/>
  <c r="J22" i="1"/>
  <c r="O4" i="2"/>
  <c r="K15" i="1" a="1"/>
  <c r="K15" i="1" s="1"/>
  <c r="K22" i="1" s="1"/>
  <c r="P4" i="2" l="1"/>
  <c r="M15" i="1" s="1" a="1"/>
  <c r="M15" i="1" s="1"/>
  <c r="L15" i="1" a="1"/>
  <c r="L15" i="1" s="1"/>
  <c r="P8" i="4"/>
  <c r="M17" i="1" s="1"/>
  <c r="L17" i="1"/>
  <c r="L22" i="1" l="1"/>
  <c r="M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<sst xmlns="http://schemas.openxmlformats.org/spreadsheetml/2006/main" count="367" uniqueCount="81">
  <si>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</si>
  <si>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</si>
  <si>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</si>
  <si>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</si>
  <si>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</si>
  <si>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</si>
  <si>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</si>
  <si>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</si>
  <si>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</si>
  <si>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</si>
  <si>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</si>
  <si>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</si>
  <si>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</si>
  <si>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</si>
  <si>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</si>
  <si>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</si>
  <si>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</si>
  <si>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</si>
  <si>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</si>
  <si>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</si>
  <si>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</si>
  <si>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The Energy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</si>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</sst>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164" fontId="0" fillId="0" borderId="26" xfId="1" applyNumberFormat="1" applyFont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8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3" fillId="0" borderId="25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8" fillId="4" borderId="20" xfId="0" applyFont="1" applyFill="1" applyBorder="1" applyAlignment="1">
      <alignment horizontal="center" vertical="center"/>
    </xf>
    <xf numFmtId="165" fontId="9" fillId="0" borderId="21" xfId="0" applyNumberFormat="1" applyFont="1" applyBorder="1" applyAlignment="1">
      <alignment horizontal="right" vertical="center"/>
    </xf>
    <xf numFmtId="165" fontId="5" fillId="0" borderId="21" xfId="0" applyNumberFormat="1" applyFont="1" applyBorder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2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2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2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2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2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2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1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3" xfId="0" applyBorder="1" applyAlignment="1">
      <alignment vertical="center"/>
    </xf>
    <xf numFmtId="10" fontId="0" fillId="0" borderId="22" xfId="0" applyNumberFormat="1" applyBorder="1" applyAlignment="1">
      <alignment horizontal="center" vertical="center"/>
    </xf>
    <xf numFmtId="43" fontId="0" fillId="7" borderId="22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194"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Summary!$C$22:$M$22</c:f>
              <c:numCache>
                <c:formatCode>_(* #,##0_);_(* \(#,##0\);_(* "-"??_);_(@_)</c:formatCode>
                <c:ptCount val="11"/>
                <c:pt idx="0">
                  <c:v>311493569080.66931</c:v>
                </c:pt>
                <c:pt idx="1">
                  <c:v>323229727695.00977</c:v>
                </c:pt>
                <c:pt idx="2">
                  <c:v>343285822056.8324</c:v>
                </c:pt>
                <c:pt idx="3">
                  <c:v>343353762222.55139</c:v>
                </c:pt>
                <c:pt idx="4">
                  <c:v>342811540669.6842</c:v>
                </c:pt>
                <c:pt idx="5">
                  <c:v>335702837150.92053</c:v>
                </c:pt>
                <c:pt idx="6">
                  <c:v>324372951777.80768</c:v>
                </c:pt>
                <c:pt idx="7">
                  <c:v>324972180078.7887</c:v>
                </c:pt>
                <c:pt idx="8">
                  <c:v>326530766278.44434</c:v>
                </c:pt>
                <c:pt idx="9">
                  <c:v>327450295011.6629</c:v>
                </c:pt>
                <c:pt idx="10">
                  <c:v>328050295011.6629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val>
            <c:numRef>
              <c:f>Summary!$C$36:$M$36</c:f>
              <c:numCache>
                <c:formatCode>_(* #,##0_);_(* \(#,##0\);_(* "-"??_);_(@_)</c:formatCode>
                <c:ptCount val="11"/>
                <c:pt idx="0">
                  <c:v>311493569080.66931</c:v>
                </c:pt>
                <c:pt idx="1">
                  <c:v>314449091744.59229</c:v>
                </c:pt>
                <c:pt idx="2">
                  <c:v>316733739408.89459</c:v>
                </c:pt>
                <c:pt idx="3">
                  <c:v>316731621309.0517</c:v>
                </c:pt>
                <c:pt idx="4">
                  <c:v>316189399756.18451</c:v>
                </c:pt>
                <c:pt idx="5">
                  <c:v>308870521440.73535</c:v>
                </c:pt>
                <c:pt idx="6">
                  <c:v>297470577802.06061</c:v>
                </c:pt>
                <c:pt idx="7">
                  <c:v>298069806103.04163</c:v>
                </c:pt>
                <c:pt idx="8">
                  <c:v>299418217506.01178</c:v>
                </c:pt>
                <c:pt idx="9">
                  <c:v>300267687973.66846</c:v>
                </c:pt>
                <c:pt idx="10">
                  <c:v>300867687973.66846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0.81528309395361787</c:v>
                </c:pt>
                <c:pt idx="1">
                  <c:v>0.83876664785752686</c:v>
                </c:pt>
                <c:pt idx="2">
                  <c:v>0.88310463162608033</c:v>
                </c:pt>
                <c:pt idx="3">
                  <c:v>0.88127529424826756</c:v>
                </c:pt>
                <c:pt idx="4">
                  <c:v>0.87793438572257054</c:v>
                </c:pt>
                <c:pt idx="5">
                  <c:v>0.85651455446251945</c:v>
                </c:pt>
                <c:pt idx="6">
                  <c:v>0.82931228336920126</c:v>
                </c:pt>
                <c:pt idx="7">
                  <c:v>0.82930405108345184</c:v>
                </c:pt>
                <c:pt idx="8">
                  <c:v>0.82930405108345184</c:v>
                </c:pt>
                <c:pt idx="9">
                  <c:v>0.82930405108345184</c:v>
                </c:pt>
                <c:pt idx="10">
                  <c:v>0.82930405108345184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0.81528309395361787</c:v>
                </c:pt>
                <c:pt idx="1">
                  <c:v>0.81310633307322788</c:v>
                </c:pt>
                <c:pt idx="2">
                  <c:v>0.80612368727318351</c:v>
                </c:pt>
                <c:pt idx="3">
                  <c:v>0.80429434989537063</c:v>
                </c:pt>
                <c:pt idx="4">
                  <c:v>0.80095344136967372</c:v>
                </c:pt>
                <c:pt idx="5">
                  <c:v>0.77953361010962263</c:v>
                </c:pt>
                <c:pt idx="6">
                  <c:v>0.75233133901630445</c:v>
                </c:pt>
                <c:pt idx="7">
                  <c:v>0.75232310673055502</c:v>
                </c:pt>
                <c:pt idx="8">
                  <c:v>0.75232310673055502</c:v>
                </c:pt>
                <c:pt idx="9">
                  <c:v>0.75232310673055502</c:v>
                </c:pt>
                <c:pt idx="10">
                  <c:v>0.75232310673055502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 b="0" i="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255604637767.11261</c:v>
                </c:pt>
                <c:pt idx="2">
                  <c:v>271036465009.62979</c:v>
                </c:pt>
                <c:pt idx="3">
                  <c:v>270570498272.84836</c:v>
                </c:pt>
                <c:pt idx="4">
                  <c:v>268921615332.84836</c:v>
                </c:pt>
                <c:pt idx="5">
                  <c:v>263220818642.504</c:v>
                </c:pt>
                <c:pt idx="6">
                  <c:v>253840889205.7226</c:v>
                </c:pt>
                <c:pt idx="7">
                  <c:v>253840889205.7226</c:v>
                </c:pt>
                <c:pt idx="8">
                  <c:v>254799475405.37823</c:v>
                </c:pt>
                <c:pt idx="9">
                  <c:v>255119004138.5968</c:v>
                </c:pt>
                <c:pt idx="10">
                  <c:v>255119004138.5968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246824001816.69513</c:v>
                </c:pt>
                <c:pt idx="2">
                  <c:v>244484382361.69199</c:v>
                </c:pt>
                <c:pt idx="3">
                  <c:v>243948357359.34869</c:v>
                </c:pt>
                <c:pt idx="4">
                  <c:v>242299474419.34869</c:v>
                </c:pt>
                <c:pt idx="5">
                  <c:v>236388502932.31882</c:v>
                </c:pt>
                <c:pt idx="6">
                  <c:v>226938515229.97552</c:v>
                </c:pt>
                <c:pt idx="7">
                  <c:v>226938515229.97552</c:v>
                </c:pt>
                <c:pt idx="8">
                  <c:v>227686926632.94565</c:v>
                </c:pt>
                <c:pt idx="9">
                  <c:v>227936397100.60236</c:v>
                </c:pt>
                <c:pt idx="10">
                  <c:v>227936397100.60236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  <a:miter lim="800000"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25400" cap="flat" cmpd="sng" algn="ctr">
      <a:solidFill>
        <a:schemeClr val="tx1"/>
      </a:solidFill>
      <a:bevel/>
    </a:ln>
    <a:effectLst/>
  </c:spPr>
  <c:txPr>
    <a:bodyPr/>
    <a:lstStyle/>
    <a:p>
      <a:pPr>
        <a:defRPr b="0" i="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567266</xdr:colOff>
      <xdr:row>38</xdr:row>
      <xdr:rowOff>189443</xdr:rowOff>
    </xdr:from>
    <xdr:to>
      <xdr:col>10</xdr:col>
      <xdr:colOff>464759</xdr:colOff>
      <xdr:row>61</xdr:row>
      <xdr:rowOff>66979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25</xdr:row>
      <xdr:rowOff>83790</xdr:rowOff>
    </xdr:from>
    <xdr:to>
      <xdr:col>13</xdr:col>
      <xdr:colOff>6102</xdr:colOff>
      <xdr:row>48</xdr:row>
      <xdr:rowOff>80729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50</xdr:row>
      <xdr:rowOff>91807</xdr:rowOff>
    </xdr:from>
    <xdr:to>
      <xdr:col>12</xdr:col>
      <xdr:colOff>1149491</xdr:colOff>
      <xdr:row>73</xdr:row>
      <xdr:rowOff>88747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2" totalsRowCount="1" headerRowDxfId="193" dataDxfId="192" totalsRowDxfId="191" headerRowCellStyle="Comma" dataCellStyle="Comma">
  <autoFilter ref="B12:M21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190" totalsRowDxfId="23"/>
    <tableColumn id="12" xr3:uid="{85475C21-3329-2B45-8444-CA94C08A4946}" name="2022" totalsRowFunction="sum" dataDxfId="189" totalsRowDxfId="22" dataCellStyle="Comma"/>
    <tableColumn id="2" xr3:uid="{39720F4C-EDD5-7B48-9B96-FD9488CF7B6F}" name="2023" totalsRowFunction="sum" dataDxfId="188" totalsRowDxfId="21" dataCellStyle="Comma"/>
    <tableColumn id="3" xr3:uid="{0994F7B4-B62D-534F-9417-0249F38ADE67}" name="2024" totalsRowFunction="sum" dataDxfId="187" totalsRowDxfId="20" dataCellStyle="Comma"/>
    <tableColumn id="4" xr3:uid="{BF5E00BE-9F6A-514F-89E9-FCB3BA9FBE7E}" name="2025" totalsRowFunction="sum" dataDxfId="186" totalsRowDxfId="19" dataCellStyle="Comma"/>
    <tableColumn id="5" xr3:uid="{558C3BB7-E01B-4041-A52C-470E15F68511}" name="2026" totalsRowFunction="sum" dataDxfId="185" totalsRowDxfId="18" dataCellStyle="Comma"/>
    <tableColumn id="6" xr3:uid="{F85D5229-9BC7-6441-95EE-D5D053C638B7}" name="2027" totalsRowFunction="sum" dataDxfId="184" totalsRowDxfId="17" dataCellStyle="Comma"/>
    <tableColumn id="7" xr3:uid="{0358E158-5480-1945-AEC6-9C9BE0041972}" name="2028" totalsRowFunction="sum" dataDxfId="183" totalsRowDxfId="16" dataCellStyle="Comma"/>
    <tableColumn id="8" xr3:uid="{AD2569E3-CD58-DB43-9407-E9740AD84292}" name="2029" totalsRowFunction="sum" dataDxfId="182" totalsRowDxfId="15" dataCellStyle="Comma"/>
    <tableColumn id="9" xr3:uid="{7561F271-4CC3-5147-8982-B20E91E439A9}" name="2030" totalsRowFunction="sum" dataDxfId="181" totalsRowDxfId="14" dataCellStyle="Comma"/>
    <tableColumn id="10" xr3:uid="{BECB626F-1389-A74E-BD36-D45CF00BA3A5}" name="2031" totalsRowFunction="sum" dataDxfId="180" totalsRowDxfId="13" dataCellStyle="Comma"/>
    <tableColumn id="11" xr3:uid="{B473C967-9544-AA40-854E-CE88ACD5AB6C}" name="2032" totalsRowFunction="sum" dataDxfId="179" totalsRowDxfId="12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5" totalsRowShown="0" headerRowDxfId="149" tableBorderDxfId="151" headerRowCellStyle="Comma">
  <autoFilter ref="B2:M5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150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6:M36" totalsRowCount="1" headerRowDxfId="38" dataDxfId="37" totalsRowDxfId="36" headerRowCellStyle="Comma" dataCellStyle="Comma">
  <autoFilter ref="B26:M35" xr:uid="{7DF35404-3107-2F4A-8FAE-287244C3C7B1}"/>
  <tableColumns count="12">
    <tableColumn id="1" xr3:uid="{01BE954E-A887-ED47-9A07-199A4652794F}" name="Products" totalsRowLabel="Total" dataDxfId="35" totalsRowDxfId="11"/>
    <tableColumn id="12" xr3:uid="{D2689BC0-FE51-1C4F-BEFD-AB4DACE89943}" name="2022" totalsRowFunction="sum" dataDxfId="34" totalsRowDxfId="10" dataCellStyle="Comma"/>
    <tableColumn id="2" xr3:uid="{6A567BA1-6DE6-8348-8535-A146D583581C}" name="2023" totalsRowFunction="sum" dataDxfId="33" totalsRowDxfId="9" dataCellStyle="Comma"/>
    <tableColumn id="3" xr3:uid="{40543FAE-4431-7141-91FF-6CA497E19814}" name="2024" totalsRowFunction="sum" dataDxfId="32" totalsRowDxfId="8" dataCellStyle="Comma"/>
    <tableColumn id="4" xr3:uid="{5F9F5E8A-DEB0-1240-8A75-FA8B64F35675}" name="2025" totalsRowFunction="sum" dataDxfId="31" totalsRowDxfId="7" dataCellStyle="Comma"/>
    <tableColumn id="5" xr3:uid="{376D47ED-3CE1-6040-9561-9EFFF63DE629}" name="2026" totalsRowFunction="sum" dataDxfId="30" totalsRowDxfId="6" dataCellStyle="Comma"/>
    <tableColumn id="6" xr3:uid="{5902029A-D689-CB43-9DD3-888C62F95D64}" name="2027" totalsRowFunction="sum" dataDxfId="29" totalsRowDxfId="5" dataCellStyle="Comma"/>
    <tableColumn id="7" xr3:uid="{DEFF5695-DFAA-0C42-B996-7914A6534765}" name="2028" totalsRowFunction="sum" dataDxfId="28" totalsRowDxfId="4" dataCellStyle="Comma"/>
    <tableColumn id="8" xr3:uid="{DA964F6B-FAD7-074D-AFFE-A731AC6A5ADF}" name="2029" totalsRowFunction="sum" dataDxfId="27" totalsRowDxfId="3" dataCellStyle="Comma"/>
    <tableColumn id="9" xr3:uid="{8011E7A7-6FB4-1344-B606-557A75FC6E3E}" name="2030" totalsRowFunction="sum" dataDxfId="26" totalsRowDxfId="2" dataCellStyle="Comma"/>
    <tableColumn id="10" xr3:uid="{9EF28CD6-825D-E24F-8E30-EFD6674D59E1}" name="2031" totalsRowFunction="sum" dataDxfId="25" totalsRowDxfId="1" dataCellStyle="Comma"/>
    <tableColumn id="11" xr3:uid="{30CA743D-2942-4544-9A3E-BC18F898D37D}" name="2032" totalsRowFunction="sum" dataDxfId="24" totalsRowDxfId="0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133" dataDxfId="131" totalsRowDxfId="132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148"/>
    <tableColumn id="2" xr3:uid="{2B1CCD52-0B57-AE43-9C86-45DD61C25858}" name="2019" totalsRowFunction="sum" dataDxfId="147" totalsRowDxfId="178" dataCellStyle="Comma">
      <calculatedColumnFormula>$C$10</calculatedColumnFormula>
    </tableColumn>
    <tableColumn id="3" xr3:uid="{B3959DCD-8B88-6743-B7BD-90FB273FDD75}" name="2020" totalsRowFunction="sum" dataDxfId="146" totalsRowDxfId="177" dataCellStyle="Comma">
      <calculatedColumnFormula>$C$10</calculatedColumnFormula>
    </tableColumn>
    <tableColumn id="4" xr3:uid="{5C2B67C1-E6FB-C342-8D11-D84155D57722}" name="2021" totalsRowFunction="sum" dataDxfId="145" totalsRowDxfId="176" dataCellStyle="Comma">
      <calculatedColumnFormula>$C$10</calculatedColumnFormula>
    </tableColumn>
    <tableColumn id="5" xr3:uid="{BD4B3AD5-EF20-2E41-AAE9-C449FBE6EBED}" name="2022" totalsRowFunction="sum" dataDxfId="144" totalsRowDxfId="175" dataCellStyle="Comma">
      <calculatedColumnFormula>$C$10</calculatedColumnFormula>
    </tableColumn>
    <tableColumn id="6" xr3:uid="{0BCB1F53-3AFA-9248-B92C-FD192EA39765}" name="2023" totalsRowFunction="sum" dataDxfId="143" dataCellStyle="Comma">
      <calculatedColumnFormula>$C$14</calculatedColumnFormula>
    </tableColumn>
    <tableColumn id="7" xr3:uid="{619BD53B-7FEB-E244-8BE1-662D18A71EC8}" name="2024" dataDxfId="142" totalsRowDxfId="174" dataCellStyle="Comma">
      <calculatedColumnFormula>$C$14</calculatedColumnFormula>
    </tableColumn>
    <tableColumn id="8" xr3:uid="{C2DAE3E4-F421-2646-9C3B-D49B961BFAE8}" name="2025" dataDxfId="141" totalsRowDxfId="173" dataCellStyle="Comma">
      <calculatedColumnFormula>$C$14</calculatedColumnFormula>
    </tableColumn>
    <tableColumn id="9" xr3:uid="{86937C3C-E018-DD45-AC99-F0436F21D37E}" name="2026" dataDxfId="140" totalsRowDxfId="172" dataCellStyle="Comma">
      <calculatedColumnFormula>$C$14</calculatedColumnFormula>
    </tableColumn>
    <tableColumn id="10" xr3:uid="{0ED2701F-7272-7F4F-BDAC-5A0B36F34735}" name="2027" dataDxfId="139" totalsRowDxfId="171" dataCellStyle="Comma">
      <calculatedColumnFormula>$C$14</calculatedColumnFormula>
    </tableColumn>
    <tableColumn id="11" xr3:uid="{924953E8-0B08-084C-88A4-2E9D4ED12687}" name="2028" dataDxfId="138" totalsRowDxfId="170" dataCellStyle="Comma">
      <calculatedColumnFormula>$C$14</calculatedColumnFormula>
    </tableColumn>
    <tableColumn id="12" xr3:uid="{CEC3F315-2D2D-2E49-86D2-AC75553FF7CC}" name="2029" dataDxfId="137" totalsRowDxfId="169" dataCellStyle="Comma">
      <calculatedColumnFormula>$C$14</calculatedColumnFormula>
    </tableColumn>
    <tableColumn id="13" xr3:uid="{3E32D8D0-438C-544C-AE07-B7766903BA6C}" name="2030" dataDxfId="136" totalsRowDxfId="168" dataCellStyle="Comma">
      <calculatedColumnFormula>$C$14</calculatedColumnFormula>
    </tableColumn>
    <tableColumn id="14" xr3:uid="{253B6EAB-1714-D944-9EC6-E76956CEEA2E}" name="2031" dataDxfId="135" totalsRowDxfId="167" dataCellStyle="Comma">
      <calculatedColumnFormula>$C$14</calculatedColumnFormula>
    </tableColumn>
    <tableColumn id="15" xr3:uid="{5944E335-1D68-4F4D-9F09-0FF522318C19}" name="2032" dataDxfId="134" totalsRowDxfId="166" dataCellStyle="Comma">
      <calculatedColumnFormula>$C$14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15" dataDxfId="113" totalsRowDxfId="114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30"/>
    <tableColumn id="2" xr3:uid="{0FE0173E-4A0A-C040-A5BF-13AFD6F74E10}" name="2019" totalsRowFunction="sum" dataDxfId="129" totalsRowDxfId="165" dataCellStyle="Comma"/>
    <tableColumn id="3" xr3:uid="{AA2A7934-1ED5-1841-9585-036B084CAE84}" name="2020" totalsRowFunction="sum" dataDxfId="128" totalsRowDxfId="164" dataCellStyle="Comma"/>
    <tableColumn id="4" xr3:uid="{513FEEBB-6A8F-574A-8F63-64E55E4DB319}" name="2021" totalsRowFunction="sum" dataDxfId="127" totalsRowDxfId="163" dataCellStyle="Comma"/>
    <tableColumn id="5" xr3:uid="{BED0975A-DF8E-C54C-B0E5-F85B60CA1335}" name="2022" totalsRowFunction="sum" dataDxfId="126" totalsRowDxfId="162" dataCellStyle="Comma"/>
    <tableColumn id="6" xr3:uid="{AB8F1B16-FC68-774A-B5DD-4EE17748FA9B}" name="2023" totalsRowFunction="sum" dataDxfId="125" totalsRowDxfId="161" dataCellStyle="Comma"/>
    <tableColumn id="7" xr3:uid="{D2F57DD7-6B8F-444D-A81B-D11878E66625}" name="2024" dataDxfId="124" totalsRowDxfId="160" dataCellStyle="Comma">
      <calculatedColumnFormula>Table36[[#This Row],[2023]]+(H2-G2)*100*$H$9</calculatedColumnFormula>
    </tableColumn>
    <tableColumn id="8" xr3:uid="{1F02D350-400D-8F4D-B198-B879C4D29351}" name="2025" dataDxfId="123" totalsRowDxfId="159" dataCellStyle="Comma">
      <calculatedColumnFormula>Table36[[#This Row],[2024]]+(I2-H2)*100*$H$9</calculatedColumnFormula>
    </tableColumn>
    <tableColumn id="9" xr3:uid="{7B59BB08-B683-F54E-8520-C0BE68887345}" name="2026" dataDxfId="122" totalsRowDxfId="158" dataCellStyle="Comma">
      <calculatedColumnFormula>Table36[[#This Row],[2025]]+(J2-I2)*100*$H$9</calculatedColumnFormula>
    </tableColumn>
    <tableColumn id="10" xr3:uid="{E67B878D-18EA-7548-9411-AA947352680D}" name="2027" dataDxfId="121" totalsRowDxfId="157" dataCellStyle="Comma">
      <calculatedColumnFormula>Table36[[#This Row],[2026]]+(K2-J2)*100*$H$9</calculatedColumnFormula>
    </tableColumn>
    <tableColumn id="11" xr3:uid="{909164A4-A24D-FC4A-85E7-81ADE8AE50D2}" name="2028" dataDxfId="120" totalsRowDxfId="156" dataCellStyle="Comma">
      <calculatedColumnFormula>Table36[[#This Row],[2027]]+(L2-K2)*100*$H$9</calculatedColumnFormula>
    </tableColumn>
    <tableColumn id="12" xr3:uid="{AA2289B0-A74F-F047-9745-BBDFD3F7D472}" name="2029" dataDxfId="119" totalsRowDxfId="155" dataCellStyle="Comma">
      <calculatedColumnFormula>Table36[[#This Row],[2028]]+(M2-L2)*100*$H$9</calculatedColumnFormula>
    </tableColumn>
    <tableColumn id="13" xr3:uid="{5A77795F-5802-6049-BD3D-E5F2DC4167E7}" name="2030" dataDxfId="118" totalsRowDxfId="154" dataCellStyle="Comma">
      <calculatedColumnFormula>Table36[[#This Row],[2029]]+(N2-M2)*100*$H$9</calculatedColumnFormula>
    </tableColumn>
    <tableColumn id="14" xr3:uid="{91BF1624-0775-4B4D-AEB5-F4CCE8DFB0BD}" name="2031" dataDxfId="117" totalsRowDxfId="153" dataCellStyle="Comma">
      <calculatedColumnFormula>Table36[[#This Row],[2030]]+(O2-N2)*100*$H$9</calculatedColumnFormula>
    </tableColumn>
    <tableColumn id="15" xr3:uid="{724851DA-4475-6F4C-B969-ADA0E125A99B}" name="2032" dataDxfId="116" totalsRowDxfId="152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110" dataDxfId="109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112">
      <calculatedColumnFormula array="1">Table36[2023]-Table36[2022]</calculatedColumnFormula>
    </tableColumn>
    <tableColumn id="2" xr3:uid="{A1A7ADBB-EEE7-B44F-8642-79DB0BA2C9B2}" name="1%" dataDxfId="111">
      <calculatedColumnFormula>G9/(G8*100)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78" dataDxfId="76" totalsRowDxfId="7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108" totalsRowDxfId="107"/>
    <tableColumn id="15" xr3:uid="{8E5BD366-1155-CE49-BBB4-3F27339B0B75}" name="2019" dataDxfId="106" totalsRowDxfId="105"/>
    <tableColumn id="14" xr3:uid="{FB0FC5E1-B965-6742-807F-7E3890DBDC3F}" name="2020" dataDxfId="104" totalsRowDxfId="103"/>
    <tableColumn id="13" xr3:uid="{794A7C86-2D33-554F-9012-765C40A5C94A}" name="2021" dataDxfId="102" totalsRowDxfId="101"/>
    <tableColumn id="2" xr3:uid="{72BB7C90-7123-8548-AD32-67D10EFB4941}" name="2022" totalsRowFunction="sum" dataDxfId="100" totalsRowDxfId="99" dataCellStyle="Comma"/>
    <tableColumn id="3" xr3:uid="{D1916A1A-7235-5944-952D-C5B2D3DDE06E}" name="2023" totalsRowFunction="sum" dataDxfId="98" totalsRowDxfId="97" dataCellStyle="Comma"/>
    <tableColumn id="4" xr3:uid="{DCCF41AD-21FF-E24A-BBC9-25283DF564ED}" name="2024" totalsRowFunction="sum" dataDxfId="96" totalsRowDxfId="95" dataCellStyle="Comma"/>
    <tableColumn id="5" xr3:uid="{2D2438E8-19A3-DC49-8708-643DF91EF6CA}" name="2025" totalsRowFunction="sum" dataDxfId="94" totalsRowDxfId="93" dataCellStyle="Comma"/>
    <tableColumn id="6" xr3:uid="{D2DA396E-5667-2944-A522-E55C0615C95B}" name="2026" totalsRowFunction="sum" dataDxfId="92" totalsRowDxfId="91" dataCellStyle="Comma"/>
    <tableColumn id="7" xr3:uid="{EDE1AE77-74CD-4C4A-AB30-33B40B187F4D}" name="2027" totalsRowFunction="custom" dataDxfId="90" totalsRowDxfId="89" dataCellStyle="Comma">
      <totalsRowFormula>Table3[[#Totals],[2026]]+K12</totalsRowFormula>
    </tableColumn>
    <tableColumn id="8" xr3:uid="{E3A4E7A4-9B95-9C45-AD94-5E313CD83314}" name="2028" totalsRowFunction="custom" dataDxfId="88" totalsRowDxfId="87" dataCellStyle="Comma">
      <totalsRowFormula>Table3[[#Totals],[2027]]+L12</totalsRowFormula>
    </tableColumn>
    <tableColumn id="9" xr3:uid="{5396A41B-238E-934A-B88C-05665FF32EAB}" name="2029" totalsRowFunction="custom" dataDxfId="86" totalsRowDxfId="85" dataCellStyle="Comma">
      <totalsRowFormula>Table3[[#Totals],[2028]]+M12</totalsRowFormula>
    </tableColumn>
    <tableColumn id="10" xr3:uid="{4B95DC7B-03C0-554B-8874-CA493F12F898}" name="2030" totalsRowFunction="custom" dataDxfId="84" totalsRowDxfId="83" dataCellStyle="Comma">
      <totalsRowFormula>Table3[[#Totals],[2029]]+N12</totalsRowFormula>
    </tableColumn>
    <tableColumn id="11" xr3:uid="{7AFBF0D8-EFCB-BD40-9797-A8DA640BE121}" name="2031" totalsRowFunction="custom" dataDxfId="82" totalsRowDxfId="81" dataCellStyle="Comma">
      <totalsRowFormula>Table3[[#Totals],[2030]]+O12</totalsRowFormula>
    </tableColumn>
    <tableColumn id="12" xr3:uid="{F50F8622-B86E-DE4B-8344-97514986A226}" name="2032" totalsRowFunction="custom" dataDxfId="80" totalsRowDxfId="79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45" dataDxfId="43" totalsRowDxfId="4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75" totalsRowDxfId="74"/>
    <tableColumn id="15" xr3:uid="{968DDC5B-E089-D843-A52D-7172723D8D2A}" name="2019" dataDxfId="73" totalsRowDxfId="72"/>
    <tableColumn id="14" xr3:uid="{78BB3794-9BF6-8D40-9094-953658171EEA}" name="2020" dataDxfId="71" totalsRowDxfId="70"/>
    <tableColumn id="13" xr3:uid="{A8272FC9-0AD5-BF4D-989E-3C102689BF68}" name="2021" dataDxfId="69" totalsRowDxfId="68"/>
    <tableColumn id="2" xr3:uid="{B4B4FEAA-CB59-9346-9F47-FF72671E2EE8}" name="2022" totalsRowFunction="sum" dataDxfId="67" totalsRowDxfId="66" dataCellStyle="Comma"/>
    <tableColumn id="3" xr3:uid="{231FA472-4B76-4041-8A73-8F9C4AEBBE8F}" name="2023" totalsRowFunction="sum" dataDxfId="65" totalsRowDxfId="64" dataCellStyle="Comma"/>
    <tableColumn id="4" xr3:uid="{2E117CD9-E0EC-D746-814E-EC6AAAC8290B}" name="2024" totalsRowFunction="custom" dataDxfId="63" totalsRowDxfId="62">
      <totalsRowFormula>Table4[[#Totals],[2023]]+(H2-G2)*100*$I$11</totalsRowFormula>
    </tableColumn>
    <tableColumn id="5" xr3:uid="{F927B8CF-7FCD-114C-9E2D-B44F29CFF80D}" name="2025" totalsRowFunction="custom" dataDxfId="61" totalsRowDxfId="60">
      <totalsRowFormula>Table4[[#Totals],[2024]]+(I2-H2)*100*$I$11</totalsRowFormula>
    </tableColumn>
    <tableColumn id="6" xr3:uid="{07104418-C75B-EE40-9CDC-49C0D474463F}" name="2026" totalsRowFunction="custom" dataDxfId="59" totalsRowDxfId="58">
      <totalsRowFormula>Table4[[#Totals],[2025]]+(J2-I2)*100*$I$11</totalsRowFormula>
    </tableColumn>
    <tableColumn id="7" xr3:uid="{DD42A9E1-1AC5-A249-A036-872FCF3A21BF}" name="2027" totalsRowFunction="custom" dataDxfId="57" totalsRowDxfId="56">
      <totalsRowFormula>Table4[[#Totals],[2026]]+(K2-J2)*100*$I$11</totalsRowFormula>
    </tableColumn>
    <tableColumn id="8" xr3:uid="{BB3B38F4-7B6D-4A4B-A663-5855598CB7D4}" name="2028" totalsRowFunction="custom" dataDxfId="55" totalsRowDxfId="54">
      <totalsRowFormula>Table4[[#Totals],[2027]]+(L2-K2)*100*$I$11</totalsRowFormula>
    </tableColumn>
    <tableColumn id="9" xr3:uid="{9F83B130-E9C9-904F-89DD-F5CF18D1A800}" name="2029" totalsRowFunction="custom" dataDxfId="53" totalsRowDxfId="52">
      <totalsRowFormula>Table4[[#Totals],[2028]]+(M2-L2)*100*$I$11</totalsRowFormula>
    </tableColumn>
    <tableColumn id="10" xr3:uid="{61DE65DA-614C-5D46-9E42-B760A7726F49}" name="2030" totalsRowFunction="custom" dataDxfId="51" totalsRowDxfId="50">
      <totalsRowFormula>Table4[[#Totals],[2029]]+(N2-M2)*100*$I$11</totalsRowFormula>
    </tableColumn>
    <tableColumn id="11" xr3:uid="{F9EEB720-D487-8B44-9A5E-608CDE69A8E5}" name="2031" totalsRowFunction="custom" dataDxfId="49" totalsRowDxfId="48">
      <totalsRowFormula>Table4[[#Totals],[2030]]+(O2-N2)*100*$I$11</totalsRowFormula>
    </tableColumn>
    <tableColumn id="12" xr3:uid="{BC9CD56F-EA9F-9B44-89E9-D5ADAD5581E1}" name="2032" totalsRowFunction="custom" dataDxfId="47" totalsRowDxfId="46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40" dataDxfId="39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42">
      <calculatedColumnFormula>Table4[[#Totals],[2023]]-Table4[[#Totals],[2022]]</calculatedColumnFormula>
    </tableColumn>
    <tableColumn id="2" xr3:uid="{BD08AFDC-A92D-1848-A18B-79184B6FFB70}" name="1%" dataDxfId="41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dimension ref="B2:N36"/>
  <sheetViews>
    <sheetView showGridLines="0" tabSelected="1" topLeftCell="A28" zoomScale="112" workbookViewId="0">
      <selection activeCell="L42" sqref="L42"/>
    </sheetView>
  </sheetViews>
  <sheetFormatPr baseColWidth="10" defaultColWidth="11" defaultRowHeight="16" x14ac:dyDescent="0.2"/>
  <cols>
    <col min="1" max="2" width="11" style="1"/>
    <col min="3" max="12" width="19.83203125" style="8" customWidth="1"/>
    <col min="13" max="13" width="19.83203125" style="1" customWidth="1"/>
    <col min="14" max="16384" width="11" style="1"/>
  </cols>
  <sheetData>
    <row r="2" spans="2:14" x14ac:dyDescent="0.2">
      <c r="B2" s="38" t="s">
        <v>64</v>
      </c>
      <c r="C2" s="39" t="s">
        <v>46</v>
      </c>
      <c r="D2" s="40" t="s">
        <v>9</v>
      </c>
      <c r="E2" s="40" t="s">
        <v>10</v>
      </c>
      <c r="F2" s="40" t="s">
        <v>11</v>
      </c>
      <c r="G2" s="40" t="s">
        <v>12</v>
      </c>
      <c r="H2" s="40" t="s">
        <v>13</v>
      </c>
      <c r="I2" s="40" t="s">
        <v>14</v>
      </c>
      <c r="J2" s="40" t="s">
        <v>15</v>
      </c>
      <c r="K2" s="40" t="s">
        <v>16</v>
      </c>
      <c r="L2" s="40" t="s">
        <v>17</v>
      </c>
      <c r="M2" s="41" t="s">
        <v>18</v>
      </c>
    </row>
    <row r="3" spans="2:14" s="2" customFormat="1" x14ac:dyDescent="0.2">
      <c r="B3" s="2" t="s">
        <v>21</v>
      </c>
      <c r="C3" s="20">
        <f>'TE Office'!C9</f>
        <v>0.81528309395361787</v>
      </c>
      <c r="D3" s="20">
        <f>'TE Office'!D9</f>
        <v>0.83876664785752686</v>
      </c>
      <c r="E3" s="20">
        <f>'TE Office'!E9</f>
        <v>0.88310463162608033</v>
      </c>
      <c r="F3" s="20">
        <f>'TE Office'!F9</f>
        <v>0.88127529424826756</v>
      </c>
      <c r="G3" s="20">
        <f>'TE Office'!G9</f>
        <v>0.87793438572257054</v>
      </c>
      <c r="H3" s="20">
        <f>'TE Office'!H9</f>
        <v>0.85651455446251945</v>
      </c>
      <c r="I3" s="20">
        <f>'TE Office'!I9</f>
        <v>0.82931228336920126</v>
      </c>
      <c r="J3" s="20">
        <f>'TE Office'!J9</f>
        <v>0.82930405108345184</v>
      </c>
      <c r="K3" s="20">
        <f>'TE Office'!K9</f>
        <v>0.82930405108345184</v>
      </c>
      <c r="L3" s="20">
        <f>'TE Office'!L9</f>
        <v>0.82930405108345184</v>
      </c>
      <c r="M3" s="20">
        <f>'TE Office'!M9</f>
        <v>0.82930405108345184</v>
      </c>
    </row>
    <row r="4" spans="2:14" s="2" customFormat="1" x14ac:dyDescent="0.2">
      <c r="B4" s="2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4" s="2" customFormat="1" x14ac:dyDescent="0.2">
      <c r="B5" s="2" t="s">
        <v>22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3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46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248555490720.72696</v>
      </c>
      <c r="D13" s="8">
        <f>'TE Office'!D7</f>
        <v>255604637767.11261</v>
      </c>
      <c r="E13" s="8">
        <f>'TE Office'!E7</f>
        <v>271036465009.62979</v>
      </c>
      <c r="F13" s="8">
        <f>'TE Office'!F7</f>
        <v>270570498272.84836</v>
      </c>
      <c r="G13" s="8">
        <f>'TE Office'!G7</f>
        <v>268921615332.84836</v>
      </c>
      <c r="H13" s="8">
        <f>'TE Office'!H7</f>
        <v>263220818642.504</v>
      </c>
      <c r="I13" s="8">
        <f>'TE Office'!I7</f>
        <v>253840889205.7226</v>
      </c>
      <c r="J13" s="8">
        <f>'TE Office'!J7</f>
        <v>253840889205.7226</v>
      </c>
      <c r="K13" s="8">
        <f>'TE Office'!K7</f>
        <v>254799475405.37823</v>
      </c>
      <c r="L13" s="8">
        <f>'TE Office'!L7</f>
        <v>255119004138.5968</v>
      </c>
      <c r="M13" s="8">
        <f>'TE Office'!M7</f>
        <v>255119004138.5968</v>
      </c>
      <c r="N13" s="35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36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16399663023.428572</v>
      </c>
      <c r="E15" s="8" cm="1">
        <f t="array" ref="E15">Table36[2024]</f>
        <v>18754508191.28532</v>
      </c>
      <c r="F15" s="8" cm="1">
        <f t="array" ref="F15">Table36[2025]</f>
        <v>18657349820.101616</v>
      </c>
      <c r="G15" s="8" cm="1">
        <f t="array" ref="G15">Table36[2026]</f>
        <v>18479910035.309937</v>
      </c>
      <c r="H15" s="8" cm="1">
        <f t="array" ref="H15">Table36[2027]</f>
        <v>17342276298.910473</v>
      </c>
      <c r="I15" s="8" cm="1">
        <f t="array" ref="I15">Table36[2028]</f>
        <v>15897530029.589542</v>
      </c>
      <c r="J15" s="8" cm="1">
        <f t="array" ref="J15">Table36[2029]</f>
        <v>15897092802.709343</v>
      </c>
      <c r="K15" s="8" cm="1">
        <f t="array" ref="K15">Table36[2030]</f>
        <v>15897092802.709343</v>
      </c>
      <c r="L15" s="8" cm="1">
        <f t="array" ref="L15">Table36[2031]</f>
        <v>15897092802.709343</v>
      </c>
      <c r="M15" s="8" cm="1">
        <f t="array" ref="M15">Table36[2032]</f>
        <v>15897092802.709343</v>
      </c>
      <c r="N15" s="36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36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8930228876.4487076</v>
      </c>
      <c r="F17" s="8">
        <f>Table4[[#Totals],[2025]]</f>
        <v>8855904150.1327858</v>
      </c>
      <c r="G17" s="8">
        <f>Table4[[#Totals],[2026]]</f>
        <v>8720165322.0573139</v>
      </c>
      <c r="H17" s="8">
        <f>Table4[[#Totals],[2027]]</f>
        <v>7849892230.0375023</v>
      </c>
      <c r="I17" s="8">
        <f>Table4[[#Totals],[2028]]</f>
        <v>6744682563.0269556</v>
      </c>
      <c r="J17" s="8">
        <f>Table4[[#Totals],[2029]]</f>
        <v>6744348090.8881903</v>
      </c>
      <c r="K17" s="8">
        <f>Table4[[#Totals],[2030]]</f>
        <v>6744348090.8881903</v>
      </c>
      <c r="L17" s="8">
        <f>Table4[[#Totals],[2031]]</f>
        <v>6744348090.8881903</v>
      </c>
      <c r="M17" s="8">
        <f>Table4[[#Totals],[2032]]</f>
        <v>6744348090.8881903</v>
      </c>
      <c r="N17" s="36"/>
    </row>
    <row r="18" spans="2:14" ht="20" customHeight="1" x14ac:dyDescent="0.2">
      <c r="B18" s="1" t="s">
        <v>5</v>
      </c>
      <c r="C18" s="8">
        <v>4000000000</v>
      </c>
      <c r="D18" s="8">
        <v>4000000000</v>
      </c>
      <c r="E18" s="8">
        <v>4000000000</v>
      </c>
      <c r="F18" s="8">
        <v>4000000000</v>
      </c>
      <c r="G18" s="8">
        <v>4000000000</v>
      </c>
      <c r="H18" s="8">
        <v>4000000000</v>
      </c>
      <c r="I18" s="8">
        <v>4000000000</v>
      </c>
      <c r="J18" s="8">
        <v>4000000000</v>
      </c>
      <c r="K18" s="8">
        <v>4000000000</v>
      </c>
      <c r="L18" s="8">
        <v>4000000000</v>
      </c>
      <c r="M18" s="8">
        <v>4000000000</v>
      </c>
      <c r="N18" s="36"/>
    </row>
    <row r="19" spans="2:14" ht="20" customHeight="1" x14ac:dyDescent="0.2">
      <c r="B19" s="1" t="s">
        <v>6</v>
      </c>
      <c r="C19" s="8">
        <v>3500000000</v>
      </c>
      <c r="D19" s="8">
        <v>3500000000</v>
      </c>
      <c r="E19" s="8">
        <v>3500000000</v>
      </c>
      <c r="F19" s="8">
        <v>3500000000</v>
      </c>
      <c r="G19" s="8">
        <v>3500000000</v>
      </c>
      <c r="H19" s="8">
        <v>3500000000</v>
      </c>
      <c r="I19" s="8">
        <v>3500000000</v>
      </c>
      <c r="J19" s="8">
        <v>3500000000</v>
      </c>
      <c r="K19" s="8">
        <v>3500000000</v>
      </c>
      <c r="L19" s="8">
        <v>3500000000</v>
      </c>
      <c r="M19" s="8">
        <v>3500000000</v>
      </c>
      <c r="N19" s="36"/>
    </row>
    <row r="20" spans="2:14" ht="20" customHeight="1" x14ac:dyDescent="0.2">
      <c r="B20" s="1" t="s">
        <v>0</v>
      </c>
      <c r="C20" s="8">
        <f>Ampera!C4</f>
        <v>8071906956</v>
      </c>
      <c r="D20" s="8">
        <f>Ampera!D4</f>
        <v>8071906956</v>
      </c>
      <c r="E20" s="8">
        <f>Ampera!E4</f>
        <v>8071906956</v>
      </c>
      <c r="F20" s="8">
        <f>Ampera!F4</f>
        <v>8071906956</v>
      </c>
      <c r="G20" s="8">
        <f>Ampera!G4</f>
        <v>8896666956</v>
      </c>
      <c r="H20" s="8">
        <f>Ampera!H4</f>
        <v>8896666956</v>
      </c>
      <c r="I20" s="8">
        <f>Ampera!I4</f>
        <v>8896666956</v>
      </c>
      <c r="J20" s="8">
        <f>Ampera!J4</f>
        <v>8896666956</v>
      </c>
      <c r="K20" s="8">
        <f>Ampera!K4</f>
        <v>8896666956</v>
      </c>
      <c r="L20" s="8">
        <f>Ampera!L4</f>
        <v>8896666956</v>
      </c>
      <c r="M20" s="8">
        <f>Ampera!M4</f>
        <v>8896666956</v>
      </c>
      <c r="N20" s="36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36"/>
    </row>
    <row r="22" spans="2:14" ht="20" customHeight="1" thickBot="1" x14ac:dyDescent="0.25">
      <c r="B22" s="1" t="s">
        <v>20</v>
      </c>
      <c r="C22" s="9">
        <f>SUBTOTAL(109,Table2[2022])</f>
        <v>311493569080.66931</v>
      </c>
      <c r="D22" s="9">
        <f>SUBTOTAL(109,Table2[2023])</f>
        <v>323229727695.00977</v>
      </c>
      <c r="E22" s="9">
        <f>SUBTOTAL(109,Table2[2024])</f>
        <v>343285822056.8324</v>
      </c>
      <c r="F22" s="9">
        <f>SUBTOTAL(109,Table2[2025])</f>
        <v>343353762222.55139</v>
      </c>
      <c r="G22" s="9">
        <f>SUBTOTAL(109,Table2[2026])</f>
        <v>342811540669.6842</v>
      </c>
      <c r="H22" s="9">
        <f>SUBTOTAL(109,Table2[2027])</f>
        <v>335702837150.92053</v>
      </c>
      <c r="I22" s="9">
        <f>SUBTOTAL(109,Table2[2028])</f>
        <v>324372951777.80768</v>
      </c>
      <c r="J22" s="9">
        <f>SUBTOTAL(109,Table2[2029])</f>
        <v>324972180078.7887</v>
      </c>
      <c r="K22" s="9">
        <f>SUBTOTAL(109,Table2[2030])</f>
        <v>326530766278.44434</v>
      </c>
      <c r="L22" s="9">
        <f>SUBTOTAL(109,Table2[2031])</f>
        <v>327450295011.6629</v>
      </c>
      <c r="M22" s="9">
        <f>SUBTOTAL(109,Table2[2032])</f>
        <v>328050295011.6629</v>
      </c>
      <c r="N22" s="37"/>
    </row>
    <row r="23" spans="2:14" ht="20" customHeight="1" x14ac:dyDescent="0.2"/>
    <row r="24" spans="2:14" ht="20" customHeight="1" x14ac:dyDescent="0.2"/>
    <row r="25" spans="2:14" s="6" customFormat="1" ht="20" customHeight="1" x14ac:dyDescent="0.2">
      <c r="C25" s="6">
        <v>0</v>
      </c>
      <c r="D25" s="7">
        <v>1</v>
      </c>
      <c r="E25" s="7">
        <v>2</v>
      </c>
      <c r="F25" s="7">
        <v>3</v>
      </c>
      <c r="G25" s="7">
        <v>4</v>
      </c>
      <c r="H25" s="7">
        <v>5</v>
      </c>
      <c r="I25" s="7">
        <v>6</v>
      </c>
      <c r="J25" s="7">
        <v>7</v>
      </c>
      <c r="K25" s="7">
        <v>8</v>
      </c>
      <c r="L25" s="7">
        <v>9</v>
      </c>
      <c r="M25" s="7">
        <v>10</v>
      </c>
    </row>
    <row r="26" spans="2:14" s="6" customFormat="1" ht="20" customHeight="1" thickBot="1" x14ac:dyDescent="0.25">
      <c r="B26" s="6" t="s">
        <v>19</v>
      </c>
      <c r="C26" s="21" t="s">
        <v>46</v>
      </c>
      <c r="D26" s="7" t="s">
        <v>9</v>
      </c>
      <c r="E26" s="7" t="s">
        <v>10</v>
      </c>
      <c r="F26" s="7" t="s">
        <v>11</v>
      </c>
      <c r="G26" s="7" t="s">
        <v>12</v>
      </c>
      <c r="H26" s="7" t="s">
        <v>13</v>
      </c>
      <c r="I26" s="7" t="s">
        <v>14</v>
      </c>
      <c r="J26" s="7" t="s">
        <v>15</v>
      </c>
      <c r="K26" s="7" t="s">
        <v>16</v>
      </c>
      <c r="L26" s="7" t="s">
        <v>17</v>
      </c>
      <c r="M26" s="7" t="s">
        <v>18</v>
      </c>
    </row>
    <row r="27" spans="2:14" s="8" customFormat="1" ht="20" customHeight="1" x14ac:dyDescent="0.2">
      <c r="B27" s="11" t="s">
        <v>7</v>
      </c>
      <c r="C27" s="8">
        <f>'TE Office'!C16</f>
        <v>248555490720.72696</v>
      </c>
      <c r="D27" s="8">
        <f>'TE Office'!D16</f>
        <v>246824001816.69513</v>
      </c>
      <c r="E27" s="8">
        <f>'TE Office'!E16</f>
        <v>244484382361.69199</v>
      </c>
      <c r="F27" s="8">
        <f>'TE Office'!F16</f>
        <v>243948357359.34869</v>
      </c>
      <c r="G27" s="8">
        <f>'TE Office'!G16</f>
        <v>242299474419.34869</v>
      </c>
      <c r="H27" s="8">
        <f>'TE Office'!H16</f>
        <v>236388502932.31882</v>
      </c>
      <c r="I27" s="8">
        <f>'TE Office'!I16</f>
        <v>226938515229.97552</v>
      </c>
      <c r="J27" s="8">
        <f>'TE Office'!J16</f>
        <v>226938515229.97552</v>
      </c>
      <c r="K27" s="8">
        <f>'TE Office'!K16</f>
        <v>227686926632.94565</v>
      </c>
      <c r="L27" s="8">
        <f>'TE Office'!L16</f>
        <v>227936397100.60236</v>
      </c>
      <c r="M27" s="8">
        <f>'TE Office'!M16</f>
        <v>227936397100.60236</v>
      </c>
      <c r="N27" s="35"/>
    </row>
    <row r="28" spans="2:14" ht="20" customHeight="1" x14ac:dyDescent="0.2">
      <c r="B28" s="1" t="s">
        <v>8</v>
      </c>
      <c r="C28" s="8">
        <v>7000000000</v>
      </c>
      <c r="D28" s="8">
        <v>7800000000</v>
      </c>
      <c r="E28" s="8">
        <v>7800000000</v>
      </c>
      <c r="F28" s="8">
        <v>7800000000</v>
      </c>
      <c r="G28" s="8">
        <v>7800000000</v>
      </c>
      <c r="H28" s="8">
        <v>7800000000</v>
      </c>
      <c r="I28" s="8">
        <v>7800000000</v>
      </c>
      <c r="J28" s="8">
        <v>7800000000</v>
      </c>
      <c r="K28" s="8">
        <v>7800000000</v>
      </c>
      <c r="L28" s="8">
        <v>7800000000</v>
      </c>
      <c r="M28" s="8">
        <v>7800000000</v>
      </c>
      <c r="N28" s="36"/>
    </row>
    <row r="29" spans="2:14" ht="20" customHeight="1" x14ac:dyDescent="0.2">
      <c r="B29" s="1" t="s">
        <v>2</v>
      </c>
      <c r="C29" s="8" cm="1">
        <f t="array" ref="C29">Table36[2022]</f>
        <v>15151548951.902332</v>
      </c>
      <c r="D29" s="8" cm="1">
        <f t="array" ref="D29">Table36[2023]</f>
        <v>16399663023.428572</v>
      </c>
      <c r="E29" s="8" cm="1">
        <f t="array" ref="E29">Table36[2024]</f>
        <v>18754508191.28532</v>
      </c>
      <c r="F29" s="8" cm="1">
        <f t="array" ref="F29">Table36[2025]</f>
        <v>18657349820.101616</v>
      </c>
      <c r="G29" s="8" cm="1">
        <f t="array" ref="G29">Table36[2026]</f>
        <v>18479910035.309937</v>
      </c>
      <c r="H29" s="8" cm="1">
        <f t="array" ref="H29">Table36[2027]</f>
        <v>17342276298.910473</v>
      </c>
      <c r="I29" s="8" cm="1">
        <f t="array" ref="I29">Table36[2028]</f>
        <v>15897530029.589542</v>
      </c>
      <c r="J29" s="8" cm="1">
        <f t="array" ref="J29">Table36[2029]</f>
        <v>15897092802.709343</v>
      </c>
      <c r="K29" s="8" cm="1">
        <f t="array" ref="K29">Table36[2030]</f>
        <v>15897092802.709343</v>
      </c>
      <c r="L29" s="8" cm="1">
        <f t="array" ref="L29">Table36[2031]</f>
        <v>15897092802.709343</v>
      </c>
      <c r="M29" s="8" cm="1">
        <f t="array" ref="M29">Table36[2032]</f>
        <v>15897092802.709343</v>
      </c>
      <c r="N29" s="36"/>
    </row>
    <row r="30" spans="2:14" ht="20" customHeight="1" x14ac:dyDescent="0.2">
      <c r="B30" s="1" t="s">
        <v>3</v>
      </c>
      <c r="C30" s="8">
        <f>Table3[[#Totals],[2022]]</f>
        <v>16440604452.040001</v>
      </c>
      <c r="D30" s="8">
        <f>Table3[[#Totals],[2023]]</f>
        <v>18124713023.468571</v>
      </c>
      <c r="E30" s="8">
        <f>Table3[[#Totals],[2024]]</f>
        <v>18592713023.468571</v>
      </c>
      <c r="F30" s="8">
        <f>Table3[[#Totals],[2025]]</f>
        <v>19298103023.468571</v>
      </c>
      <c r="G30" s="8">
        <f>Table3[[#Totals],[2026]]</f>
        <v>19893183023.468571</v>
      </c>
      <c r="H30" s="8">
        <f>Table3[[#Totals],[2027]]</f>
        <v>20493183023.468571</v>
      </c>
      <c r="I30" s="8">
        <f>Table3[[#Totals],[2028]]</f>
        <v>21093183023.468571</v>
      </c>
      <c r="J30" s="8">
        <f>Table3[[#Totals],[2029]]</f>
        <v>21693183023.468571</v>
      </c>
      <c r="K30" s="8">
        <f>Table3[[#Totals],[2030]]</f>
        <v>22293183023.468571</v>
      </c>
      <c r="L30" s="8">
        <f>Table3[[#Totals],[2031]]</f>
        <v>22893183023.468571</v>
      </c>
      <c r="M30" s="8">
        <f>Table3[[#Totals],[2032]]</f>
        <v>23493183023.468571</v>
      </c>
      <c r="N30" s="36"/>
    </row>
    <row r="31" spans="2:14" ht="20" customHeight="1" x14ac:dyDescent="0.2">
      <c r="B31" s="1" t="s">
        <v>4</v>
      </c>
      <c r="C31" s="8">
        <f>Table4[[#Totals],[2022]]</f>
        <v>6174018000</v>
      </c>
      <c r="D31" s="8">
        <f>Table4[[#Totals],[2023]]</f>
        <v>7128806925</v>
      </c>
      <c r="E31" s="8">
        <f>Table4[[#Totals],[2024]]</f>
        <v>8930228876.4487076</v>
      </c>
      <c r="F31" s="8">
        <f>Table4[[#Totals],[2025]]</f>
        <v>8855904150.1327858</v>
      </c>
      <c r="G31" s="8">
        <f>Table4[[#Totals],[2026]]</f>
        <v>8720165322.0573139</v>
      </c>
      <c r="H31" s="8">
        <f>Table4[[#Totals],[2027]]</f>
        <v>7849892230.0375023</v>
      </c>
      <c r="I31" s="8">
        <f>Table4[[#Totals],[2028]]</f>
        <v>6744682563.0269556</v>
      </c>
      <c r="J31" s="8">
        <f>Table4[[#Totals],[2029]]</f>
        <v>6744348090.8881903</v>
      </c>
      <c r="K31" s="8">
        <f>Table4[[#Totals],[2030]]</f>
        <v>6744348090.8881903</v>
      </c>
      <c r="L31" s="8">
        <f>Table4[[#Totals],[2031]]</f>
        <v>6744348090.8881903</v>
      </c>
      <c r="M31" s="8">
        <f>Table4[[#Totals],[2032]]</f>
        <v>6744348090.8881903</v>
      </c>
      <c r="N31" s="36"/>
    </row>
    <row r="32" spans="2:14" ht="20" customHeight="1" x14ac:dyDescent="0.2">
      <c r="B32" s="1" t="s">
        <v>5</v>
      </c>
      <c r="C32" s="8">
        <v>4000000000</v>
      </c>
      <c r="D32" s="8">
        <v>4000000000</v>
      </c>
      <c r="E32" s="8">
        <v>4000000000</v>
      </c>
      <c r="F32" s="8">
        <v>4000000000</v>
      </c>
      <c r="G32" s="8">
        <v>4000000000</v>
      </c>
      <c r="H32" s="8">
        <v>4000000000</v>
      </c>
      <c r="I32" s="8">
        <v>4000000000</v>
      </c>
      <c r="J32" s="8">
        <v>4000000000</v>
      </c>
      <c r="K32" s="8">
        <v>4000000000</v>
      </c>
      <c r="L32" s="8">
        <v>4000000000</v>
      </c>
      <c r="M32" s="8">
        <v>4000000000</v>
      </c>
      <c r="N32" s="36"/>
    </row>
    <row r="33" spans="2:14" ht="20" customHeight="1" x14ac:dyDescent="0.2">
      <c r="B33" s="1" t="s">
        <v>6</v>
      </c>
      <c r="C33" s="8">
        <v>3500000000</v>
      </c>
      <c r="D33" s="8">
        <v>3500000000</v>
      </c>
      <c r="E33" s="8">
        <v>3500000000</v>
      </c>
      <c r="F33" s="8">
        <v>3500000000</v>
      </c>
      <c r="G33" s="8">
        <v>3500000000</v>
      </c>
      <c r="H33" s="8">
        <v>3500000000</v>
      </c>
      <c r="I33" s="8">
        <v>3500000000</v>
      </c>
      <c r="J33" s="8">
        <v>3500000000</v>
      </c>
      <c r="K33" s="8">
        <v>3500000000</v>
      </c>
      <c r="L33" s="8">
        <v>3500000000</v>
      </c>
      <c r="M33" s="8">
        <v>3500000000</v>
      </c>
      <c r="N33" s="36"/>
    </row>
    <row r="34" spans="2:14" ht="20" customHeight="1" x14ac:dyDescent="0.2">
      <c r="B34" s="1" t="s">
        <v>0</v>
      </c>
      <c r="C34" s="8">
        <f>Ampera!C4</f>
        <v>8071906956</v>
      </c>
      <c r="D34" s="8">
        <f>Ampera!D4</f>
        <v>8071906956</v>
      </c>
      <c r="E34" s="8">
        <f>Ampera!E4</f>
        <v>8071906956</v>
      </c>
      <c r="F34" s="8">
        <f>Ampera!F4</f>
        <v>8071906956</v>
      </c>
      <c r="G34" s="8">
        <f>Ampera!G4</f>
        <v>8896666956</v>
      </c>
      <c r="H34" s="8">
        <f>Ampera!H4</f>
        <v>8896666956</v>
      </c>
      <c r="I34" s="8">
        <f>Ampera!I4</f>
        <v>8896666956</v>
      </c>
      <c r="J34" s="8">
        <f>Ampera!J4</f>
        <v>8896666956</v>
      </c>
      <c r="K34" s="8">
        <f>Ampera!K4</f>
        <v>8896666956</v>
      </c>
      <c r="L34" s="8">
        <f>Ampera!L4</f>
        <v>8896666956</v>
      </c>
      <c r="M34" s="8">
        <f>Ampera!M4</f>
        <v>8896666956</v>
      </c>
      <c r="N34" s="36"/>
    </row>
    <row r="35" spans="2:14" ht="20" customHeight="1" x14ac:dyDescent="0.2">
      <c r="B35" s="1" t="s">
        <v>1</v>
      </c>
      <c r="C35" s="8">
        <v>2600000000</v>
      </c>
      <c r="D35" s="8">
        <v>2600000000</v>
      </c>
      <c r="E35" s="8">
        <v>2600000000</v>
      </c>
      <c r="F35" s="8">
        <v>2600000000</v>
      </c>
      <c r="G35" s="8">
        <v>2600000000</v>
      </c>
      <c r="H35" s="8">
        <v>2600000000</v>
      </c>
      <c r="I35" s="8">
        <v>2600000000</v>
      </c>
      <c r="J35" s="8">
        <v>2600000000</v>
      </c>
      <c r="K35" s="8">
        <v>2600000000</v>
      </c>
      <c r="L35" s="8">
        <v>2600000000</v>
      </c>
      <c r="M35" s="8">
        <v>2600000000</v>
      </c>
      <c r="N35" s="36"/>
    </row>
    <row r="36" spans="2:14" ht="20" customHeight="1" thickBot="1" x14ac:dyDescent="0.25">
      <c r="B36" s="1" t="s">
        <v>20</v>
      </c>
      <c r="C36" s="9">
        <f>SUBTOTAL(109,Table211[2022])</f>
        <v>311493569080.66931</v>
      </c>
      <c r="D36" s="9">
        <f>SUBTOTAL(109,Table211[2023])</f>
        <v>314449091744.59229</v>
      </c>
      <c r="E36" s="9">
        <f>SUBTOTAL(109,Table211[2024])</f>
        <v>316733739408.89459</v>
      </c>
      <c r="F36" s="9">
        <f>SUBTOTAL(109,Table211[2025])</f>
        <v>316731621309.0517</v>
      </c>
      <c r="G36" s="9">
        <f>SUBTOTAL(109,Table211[2026])</f>
        <v>316189399756.18451</v>
      </c>
      <c r="H36" s="9">
        <f>SUBTOTAL(109,Table211[2027])</f>
        <v>308870521440.73535</v>
      </c>
      <c r="I36" s="9">
        <f>SUBTOTAL(109,Table211[2028])</f>
        <v>297470577802.06061</v>
      </c>
      <c r="J36" s="9">
        <f>SUBTOTAL(109,Table211[2029])</f>
        <v>298069806103.04163</v>
      </c>
      <c r="K36" s="9">
        <f>SUBTOTAL(109,Table211[2030])</f>
        <v>299418217506.01178</v>
      </c>
      <c r="L36" s="9">
        <f>SUBTOTAL(109,Table211[2031])</f>
        <v>300267687973.66846</v>
      </c>
      <c r="M36" s="9">
        <f>SUBTOTAL(109,Table211[2032])</f>
        <v>300867687973.66846</v>
      </c>
      <c r="N36" s="37"/>
    </row>
  </sheetData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Summary!C27:M27</xm:f>
              <xm:sqref>N27</xm:sqref>
            </x14:sparkline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</x14:sparklines>
        </x14:sparklineGroup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dimension ref="B3:N18"/>
  <sheetViews>
    <sheetView showGridLines="0" zoomScale="83" zoomScaleNormal="140" workbookViewId="0">
      <selection activeCell="Q51" sqref="Q51"/>
    </sheetView>
  </sheetViews>
  <sheetFormatPr baseColWidth="10" defaultRowHeight="16" x14ac:dyDescent="0.2"/>
  <cols>
    <col min="1" max="1" width="10.83203125" style="1"/>
    <col min="2" max="2" width="10.83203125" style="42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4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42" t="s">
        <v>65</v>
      </c>
      <c r="C4" s="44">
        <v>44926</v>
      </c>
      <c r="D4" s="44">
        <v>45291</v>
      </c>
      <c r="E4" s="44">
        <v>45657</v>
      </c>
      <c r="F4" s="44">
        <v>46022</v>
      </c>
      <c r="G4" s="44">
        <v>46387</v>
      </c>
      <c r="H4" s="44">
        <v>46752</v>
      </c>
      <c r="I4" s="44">
        <v>47118</v>
      </c>
      <c r="J4" s="44">
        <v>47483</v>
      </c>
      <c r="K4" s="44">
        <v>47848</v>
      </c>
      <c r="L4" s="44">
        <v>48213</v>
      </c>
      <c r="M4" s="44">
        <v>48579</v>
      </c>
    </row>
    <row r="5" spans="2:14" ht="21" customHeight="1" x14ac:dyDescent="0.2">
      <c r="B5" s="42" t="s">
        <v>66</v>
      </c>
      <c r="C5" s="45">
        <v>205309239968.79742</v>
      </c>
      <c r="D5" s="46">
        <v>210420935458.58954</v>
      </c>
      <c r="E5" s="46">
        <v>221916332903.52374</v>
      </c>
      <c r="F5" s="46">
        <v>221176481983.52374</v>
      </c>
      <c r="G5" s="46">
        <v>219709322543.52374</v>
      </c>
      <c r="H5" s="46">
        <v>214157428303.52374</v>
      </c>
      <c r="I5" s="46">
        <v>206003352983.52377</v>
      </c>
      <c r="J5" s="46">
        <v>206003352983.52377</v>
      </c>
      <c r="K5" s="46">
        <v>206003352983.52377</v>
      </c>
      <c r="L5" s="46">
        <v>206003352983.52377</v>
      </c>
      <c r="M5" s="46">
        <v>206003352983.52377</v>
      </c>
      <c r="N5" s="51"/>
    </row>
    <row r="6" spans="2:14" ht="21" customHeight="1" x14ac:dyDescent="0.2">
      <c r="B6" s="42" t="s">
        <v>67</v>
      </c>
      <c r="C6" s="45">
        <v>43246250751.929543</v>
      </c>
      <c r="D6" s="46">
        <v>45183702308.523056</v>
      </c>
      <c r="E6" s="46">
        <v>49120132106.106056</v>
      </c>
      <c r="F6" s="46">
        <v>49394016289.324608</v>
      </c>
      <c r="G6" s="46">
        <v>49212292789.324608</v>
      </c>
      <c r="H6" s="46">
        <v>49063390338.980263</v>
      </c>
      <c r="I6" s="46">
        <v>47837536222.198814</v>
      </c>
      <c r="J6" s="46">
        <v>47837536222.198814</v>
      </c>
      <c r="K6" s="46">
        <v>48796122421.854462</v>
      </c>
      <c r="L6" s="46">
        <v>49115651155.073013</v>
      </c>
      <c r="M6" s="46">
        <v>49115651155.073013</v>
      </c>
      <c r="N6" s="52"/>
    </row>
    <row r="7" spans="2:14" s="43" customFormat="1" ht="21" customHeight="1" x14ac:dyDescent="0.2">
      <c r="B7" s="42" t="s">
        <v>20</v>
      </c>
      <c r="C7" s="47">
        <v>248555490720.72696</v>
      </c>
      <c r="D7" s="48">
        <v>255604637767.11261</v>
      </c>
      <c r="E7" s="48">
        <v>271036465009.62979</v>
      </c>
      <c r="F7" s="48">
        <v>270570498272.84836</v>
      </c>
      <c r="G7" s="48">
        <v>268921615332.84836</v>
      </c>
      <c r="H7" s="48">
        <v>263220818642.504</v>
      </c>
      <c r="I7" s="48">
        <v>253840889205.7226</v>
      </c>
      <c r="J7" s="48">
        <v>253840889205.7226</v>
      </c>
      <c r="K7" s="48">
        <v>254799475405.37823</v>
      </c>
      <c r="L7" s="48">
        <v>255119004138.5968</v>
      </c>
      <c r="M7" s="48">
        <v>255119004138.5968</v>
      </c>
      <c r="N7" s="53"/>
    </row>
    <row r="8" spans="2:14" ht="21" customHeight="1" x14ac:dyDescent="0.2">
      <c r="B8" s="42" t="s">
        <v>68</v>
      </c>
      <c r="C8" s="45">
        <v>49517.419509439933</v>
      </c>
      <c r="D8" s="46">
        <v>50943.727743789954</v>
      </c>
      <c r="E8" s="46">
        <v>53636.66049163264</v>
      </c>
      <c r="F8" s="46">
        <v>53525.552991632634</v>
      </c>
      <c r="G8" s="46">
        <v>53322.637991632633</v>
      </c>
      <c r="H8" s="46">
        <v>52021.672991632637</v>
      </c>
      <c r="I8" s="46">
        <v>50369.502991632638</v>
      </c>
      <c r="J8" s="46">
        <v>50369.002991632638</v>
      </c>
      <c r="K8" s="46">
        <v>50369.002991632638</v>
      </c>
      <c r="L8" s="46">
        <v>50369.002991632638</v>
      </c>
      <c r="M8" s="46">
        <v>50369.002991632638</v>
      </c>
      <c r="N8" s="52"/>
    </row>
    <row r="9" spans="2:14" ht="21" customHeight="1" thickBot="1" x14ac:dyDescent="0.25">
      <c r="B9" s="42" t="s">
        <v>69</v>
      </c>
      <c r="C9" s="49">
        <v>0.81528309395361787</v>
      </c>
      <c r="D9" s="50">
        <v>0.83876664785752686</v>
      </c>
      <c r="E9" s="50">
        <v>0.88310463162608033</v>
      </c>
      <c r="F9" s="50">
        <v>0.88127529424826756</v>
      </c>
      <c r="G9" s="50">
        <v>0.87793438572257054</v>
      </c>
      <c r="H9" s="50">
        <v>0.85651455446251945</v>
      </c>
      <c r="I9" s="50">
        <v>0.82931228336920126</v>
      </c>
      <c r="J9" s="50">
        <v>0.82930405108345184</v>
      </c>
      <c r="K9" s="50">
        <v>0.82930405108345184</v>
      </c>
      <c r="L9" s="50">
        <v>0.82930405108345184</v>
      </c>
      <c r="M9" s="50">
        <v>0.82930405108345184</v>
      </c>
      <c r="N9" s="54"/>
    </row>
    <row r="10" spans="2:14" ht="21" customHeight="1" x14ac:dyDescent="0.2"/>
    <row r="11" spans="2:14" ht="21" customHeight="1" x14ac:dyDescent="0.2"/>
    <row r="12" spans="2:14" s="6" customFormat="1" ht="21" customHeight="1" x14ac:dyDescent="0.2">
      <c r="B12" s="42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42" t="s">
        <v>65</v>
      </c>
      <c r="C13" s="44">
        <v>44926</v>
      </c>
      <c r="D13" s="44">
        <v>45291</v>
      </c>
      <c r="E13" s="44">
        <v>45657</v>
      </c>
      <c r="F13" s="44">
        <v>46022</v>
      </c>
      <c r="G13" s="44">
        <v>46387</v>
      </c>
      <c r="H13" s="44">
        <v>46752</v>
      </c>
      <c r="I13" s="44">
        <v>47118</v>
      </c>
      <c r="J13" s="44">
        <v>47483</v>
      </c>
      <c r="K13" s="44">
        <v>47848</v>
      </c>
      <c r="L13" s="44">
        <v>48213</v>
      </c>
      <c r="M13" s="44">
        <v>48579</v>
      </c>
    </row>
    <row r="14" spans="2:14" ht="21" customHeight="1" x14ac:dyDescent="0.2">
      <c r="B14" s="42" t="s">
        <v>66</v>
      </c>
      <c r="C14" s="45">
        <v>205309239968.79742</v>
      </c>
      <c r="D14" s="46">
        <v>202948053798.65979</v>
      </c>
      <c r="E14" s="46">
        <v>199497687923.73456</v>
      </c>
      <c r="F14" s="46">
        <v>198757837003.73456</v>
      </c>
      <c r="G14" s="46">
        <v>197290677563.73456</v>
      </c>
      <c r="H14" s="46">
        <v>191738783323.73456</v>
      </c>
      <c r="I14" s="46">
        <v>183584708003.73456</v>
      </c>
      <c r="J14" s="46">
        <v>183584708003.73456</v>
      </c>
      <c r="K14" s="46">
        <v>183584708003.73456</v>
      </c>
      <c r="L14" s="46">
        <v>183584708003.73456</v>
      </c>
      <c r="M14" s="46">
        <v>183584708003.73456</v>
      </c>
      <c r="N14" s="51"/>
    </row>
    <row r="15" spans="2:14" ht="21" customHeight="1" x14ac:dyDescent="0.2">
      <c r="B15" s="42" t="s">
        <v>67</v>
      </c>
      <c r="C15" s="45">
        <v>43246250751.929543</v>
      </c>
      <c r="D15" s="46">
        <v>43875948018.035355</v>
      </c>
      <c r="E15" s="46">
        <v>44986694437.95742</v>
      </c>
      <c r="F15" s="46">
        <v>45190520355.614128</v>
      </c>
      <c r="G15" s="46">
        <v>45008796855.614128</v>
      </c>
      <c r="H15" s="46">
        <v>44649719608.584259</v>
      </c>
      <c r="I15" s="46">
        <v>43353807226.240967</v>
      </c>
      <c r="J15" s="46">
        <v>43353807226.240967</v>
      </c>
      <c r="K15" s="46">
        <v>44102218629.21109</v>
      </c>
      <c r="L15" s="46">
        <v>44351689096.867798</v>
      </c>
      <c r="M15" s="46">
        <v>44351689096.867798</v>
      </c>
      <c r="N15" s="52"/>
    </row>
    <row r="16" spans="2:14" s="43" customFormat="1" ht="21" customHeight="1" x14ac:dyDescent="0.2">
      <c r="B16" s="42" t="s">
        <v>20</v>
      </c>
      <c r="C16" s="47">
        <v>248555490720.72696</v>
      </c>
      <c r="D16" s="48">
        <v>246824001816.69513</v>
      </c>
      <c r="E16" s="48">
        <v>244484382361.69199</v>
      </c>
      <c r="F16" s="48">
        <v>243948357359.34869</v>
      </c>
      <c r="G16" s="48">
        <v>242299474419.34869</v>
      </c>
      <c r="H16" s="48">
        <v>236388502932.31882</v>
      </c>
      <c r="I16" s="48">
        <v>226938515229.97552</v>
      </c>
      <c r="J16" s="48">
        <v>226938515229.97552</v>
      </c>
      <c r="K16" s="48">
        <v>227686926632.94565</v>
      </c>
      <c r="L16" s="48">
        <v>227936397100.60236</v>
      </c>
      <c r="M16" s="48">
        <v>227936397100.60236</v>
      </c>
      <c r="N16" s="53"/>
    </row>
    <row r="17" spans="2:14" ht="21" customHeight="1" x14ac:dyDescent="0.2">
      <c r="B17" s="42" t="s">
        <v>68</v>
      </c>
      <c r="C17" s="45">
        <v>49517.419509439933</v>
      </c>
      <c r="D17" s="46">
        <v>49385.210731304593</v>
      </c>
      <c r="E17" s="46">
        <v>48961.109454176556</v>
      </c>
      <c r="F17" s="46">
        <v>48850.00195417655</v>
      </c>
      <c r="G17" s="46">
        <v>48647.08695417655</v>
      </c>
      <c r="H17" s="46">
        <v>47346.121954176553</v>
      </c>
      <c r="I17" s="46">
        <v>45693.951954176555</v>
      </c>
      <c r="J17" s="46">
        <v>45693.451954176555</v>
      </c>
      <c r="K17" s="46">
        <v>45693.451954176555</v>
      </c>
      <c r="L17" s="46">
        <v>45693.451954176555</v>
      </c>
      <c r="M17" s="46">
        <v>45693.451954176555</v>
      </c>
      <c r="N17" s="52"/>
    </row>
    <row r="18" spans="2:14" ht="21" customHeight="1" thickBot="1" x14ac:dyDescent="0.25">
      <c r="B18" s="42" t="s">
        <v>69</v>
      </c>
      <c r="C18" s="49">
        <v>0.81528309395361787</v>
      </c>
      <c r="D18" s="50">
        <v>0.81310633307322788</v>
      </c>
      <c r="E18" s="50">
        <v>0.80612368727318351</v>
      </c>
      <c r="F18" s="50">
        <v>0.80429434989537063</v>
      </c>
      <c r="G18" s="50">
        <v>0.80095344136967372</v>
      </c>
      <c r="H18" s="50">
        <v>0.77953361010962263</v>
      </c>
      <c r="I18" s="50">
        <v>0.75233133901630445</v>
      </c>
      <c r="J18" s="50">
        <v>0.75232310673055502</v>
      </c>
      <c r="K18" s="50">
        <v>0.75232310673055502</v>
      </c>
      <c r="L18" s="50">
        <v>0.75232310673055502</v>
      </c>
      <c r="M18" s="50">
        <v>0.75232310673055502</v>
      </c>
      <c r="N18" s="54"/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dimension ref="B2:AL42"/>
  <sheetViews>
    <sheetView showGridLines="0" zoomScaleNormal="100" workbookViewId="0">
      <selection activeCell="Q16" sqref="Q16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55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2:38" ht="20" customHeight="1" thickBot="1" x14ac:dyDescent="0.25">
      <c r="B3" s="57" t="s">
        <v>47</v>
      </c>
      <c r="C3" s="57" t="s">
        <v>58</v>
      </c>
      <c r="D3" s="57" t="s">
        <v>59</v>
      </c>
      <c r="E3" s="57" t="s">
        <v>60</v>
      </c>
      <c r="F3" s="57" t="s">
        <v>46</v>
      </c>
      <c r="G3" s="57" t="s">
        <v>9</v>
      </c>
      <c r="H3" s="57" t="s">
        <v>10</v>
      </c>
      <c r="I3" s="57" t="s">
        <v>11</v>
      </c>
      <c r="J3" s="57" t="s">
        <v>12</v>
      </c>
      <c r="K3" s="57" t="s">
        <v>13</v>
      </c>
      <c r="L3" s="57" t="s">
        <v>14</v>
      </c>
      <c r="M3" s="57" t="s">
        <v>15</v>
      </c>
      <c r="N3" s="57" t="s">
        <v>16</v>
      </c>
      <c r="O3" s="57" t="s">
        <v>17</v>
      </c>
      <c r="P3" s="57" t="s">
        <v>18</v>
      </c>
      <c r="W3" s="58"/>
      <c r="X3" s="29" t="s">
        <v>23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58"/>
    </row>
    <row r="4" spans="2:38" ht="20" customHeight="1" x14ac:dyDescent="0.2">
      <c r="B4" s="1" t="s">
        <v>0</v>
      </c>
      <c r="C4" s="8">
        <f t="shared" ref="C4:E4" si="0">$C$10</f>
        <v>8071906956</v>
      </c>
      <c r="D4" s="8">
        <f t="shared" si="0"/>
        <v>8071906956</v>
      </c>
      <c r="E4" s="8">
        <f t="shared" si="0"/>
        <v>8071906956</v>
      </c>
      <c r="F4" s="8">
        <f>$C$10</f>
        <v>8071906956</v>
      </c>
      <c r="G4" s="8">
        <f>$C$14</f>
        <v>8896666956</v>
      </c>
      <c r="H4" s="8">
        <f t="shared" ref="H4:P4" si="1">$C$14</f>
        <v>8896666956</v>
      </c>
      <c r="I4" s="8">
        <f t="shared" si="1"/>
        <v>8896666956</v>
      </c>
      <c r="J4" s="8">
        <f t="shared" si="1"/>
        <v>8896666956</v>
      </c>
      <c r="K4" s="8">
        <f t="shared" si="1"/>
        <v>8896666956</v>
      </c>
      <c r="L4" s="8">
        <f t="shared" si="1"/>
        <v>8896666956</v>
      </c>
      <c r="M4" s="8">
        <f t="shared" si="1"/>
        <v>8896666956</v>
      </c>
      <c r="N4" s="8">
        <f t="shared" si="1"/>
        <v>8896666956</v>
      </c>
      <c r="O4" s="8">
        <f t="shared" si="1"/>
        <v>8896666956</v>
      </c>
      <c r="P4" s="8">
        <f t="shared" si="1"/>
        <v>8896666956</v>
      </c>
      <c r="Q4" s="51"/>
      <c r="W4" s="58"/>
      <c r="X4" s="31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58"/>
    </row>
    <row r="5" spans="2:38" ht="20" customHeight="1" thickBot="1" x14ac:dyDescent="0.25">
      <c r="B5" s="1" t="s">
        <v>77</v>
      </c>
      <c r="C5" s="8"/>
      <c r="D5" s="59">
        <v>0</v>
      </c>
      <c r="E5" s="59">
        <v>0</v>
      </c>
      <c r="F5" s="59">
        <v>0</v>
      </c>
      <c r="G5" s="59">
        <f>G4-F4</f>
        <v>824760000</v>
      </c>
      <c r="H5" s="59">
        <v>0</v>
      </c>
      <c r="I5" s="59">
        <v>0</v>
      </c>
      <c r="J5" s="59">
        <v>0</v>
      </c>
      <c r="K5" s="59">
        <v>0</v>
      </c>
      <c r="L5" s="59">
        <v>0</v>
      </c>
      <c r="M5" s="59">
        <v>0</v>
      </c>
      <c r="N5" s="59">
        <v>0</v>
      </c>
      <c r="O5" s="59">
        <v>0</v>
      </c>
      <c r="P5" s="59">
        <v>0</v>
      </c>
      <c r="Q5" s="54"/>
      <c r="W5" s="58"/>
      <c r="X5" s="33" t="s">
        <v>24</v>
      </c>
      <c r="Y5" s="12" t="s">
        <v>25</v>
      </c>
      <c r="Z5" s="12" t="s">
        <v>26</v>
      </c>
      <c r="AA5" s="12" t="s">
        <v>27</v>
      </c>
      <c r="AB5" s="12" t="s">
        <v>28</v>
      </c>
      <c r="AC5" s="12" t="s">
        <v>29</v>
      </c>
      <c r="AD5" s="12" t="s">
        <v>30</v>
      </c>
      <c r="AE5" s="12" t="s">
        <v>31</v>
      </c>
      <c r="AF5" s="12" t="s">
        <v>32</v>
      </c>
      <c r="AG5" s="12" t="s">
        <v>33</v>
      </c>
      <c r="AH5" s="12" t="s">
        <v>34</v>
      </c>
      <c r="AI5" s="12" t="s">
        <v>35</v>
      </c>
      <c r="AJ5" s="12" t="s">
        <v>36</v>
      </c>
      <c r="AK5" s="13" t="s">
        <v>20</v>
      </c>
      <c r="AL5" s="58"/>
    </row>
    <row r="6" spans="2:3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W6" s="58"/>
      <c r="X6" s="3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58"/>
    </row>
    <row r="7" spans="2:38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W7" s="58"/>
      <c r="X7" s="22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58"/>
    </row>
    <row r="8" spans="2:38" x14ac:dyDescent="0.2">
      <c r="B8" s="60">
        <v>2022</v>
      </c>
      <c r="W8" s="58"/>
      <c r="X8" s="61" t="s">
        <v>38</v>
      </c>
      <c r="Y8" s="62">
        <v>1828600993</v>
      </c>
      <c r="Z8" s="62">
        <v>1745141108</v>
      </c>
      <c r="AA8" s="62">
        <v>1942816860</v>
      </c>
      <c r="AB8" s="62">
        <v>1920153687</v>
      </c>
      <c r="AC8" s="62">
        <v>2095867421</v>
      </c>
      <c r="AD8" s="62">
        <v>1840315562</v>
      </c>
      <c r="AE8" s="62">
        <v>2153287355</v>
      </c>
      <c r="AF8" s="62">
        <v>1920548468</v>
      </c>
      <c r="AG8" s="62">
        <v>2083622376</v>
      </c>
      <c r="AH8" s="62">
        <v>2238172090</v>
      </c>
      <c r="AI8" s="62">
        <v>2127067741</v>
      </c>
      <c r="AJ8" s="62">
        <v>2064953768</v>
      </c>
      <c r="AK8" s="63">
        <f>SUM(Y8:AJ8)</f>
        <v>23960547429</v>
      </c>
      <c r="AL8" s="58"/>
    </row>
    <row r="9" spans="2:38" x14ac:dyDescent="0.2">
      <c r="B9" s="55" t="s">
        <v>78</v>
      </c>
      <c r="C9" s="8">
        <v>672658913</v>
      </c>
      <c r="W9" s="58"/>
      <c r="X9" s="61" t="s">
        <v>39</v>
      </c>
      <c r="Y9" s="62">
        <v>1464166513</v>
      </c>
      <c r="Z9" s="62">
        <v>1414936358</v>
      </c>
      <c r="AA9" s="62">
        <v>1357083300</v>
      </c>
      <c r="AB9" s="62">
        <v>1388031906</v>
      </c>
      <c r="AC9" s="62">
        <v>1607714938</v>
      </c>
      <c r="AD9" s="62">
        <v>1718436321</v>
      </c>
      <c r="AE9" s="62">
        <v>1752236298</v>
      </c>
      <c r="AF9" s="62">
        <v>1703714897</v>
      </c>
      <c r="AG9" s="62">
        <v>1643490893</v>
      </c>
      <c r="AH9" s="62">
        <v>1776976086</v>
      </c>
      <c r="AI9" s="62">
        <v>1783782368</v>
      </c>
      <c r="AJ9" s="62">
        <v>1573736392</v>
      </c>
      <c r="AK9" s="64">
        <f t="shared" ref="AK9:AK10" si="2">SUM(Y9:AJ9)</f>
        <v>19184306270</v>
      </c>
      <c r="AL9" s="65"/>
    </row>
    <row r="10" spans="2:38" x14ac:dyDescent="0.2">
      <c r="B10" s="55" t="s">
        <v>63</v>
      </c>
      <c r="C10" s="8">
        <f>C9*12</f>
        <v>8071906956</v>
      </c>
      <c r="W10" s="58"/>
      <c r="X10" s="61" t="s">
        <v>40</v>
      </c>
      <c r="Y10" s="62">
        <v>364434480</v>
      </c>
      <c r="Z10" s="62">
        <v>330204750</v>
      </c>
      <c r="AA10" s="62">
        <v>585733560</v>
      </c>
      <c r="AB10" s="62">
        <v>532121781</v>
      </c>
      <c r="AC10" s="62">
        <v>488152483</v>
      </c>
      <c r="AD10" s="62">
        <v>121879241</v>
      </c>
      <c r="AE10" s="62">
        <v>401051057</v>
      </c>
      <c r="AF10" s="62">
        <v>216833571</v>
      </c>
      <c r="AG10" s="62">
        <v>440131483</v>
      </c>
      <c r="AH10" s="62">
        <v>461196004</v>
      </c>
      <c r="AI10" s="62">
        <v>343285373</v>
      </c>
      <c r="AJ10" s="62">
        <v>491217376</v>
      </c>
      <c r="AK10" s="63">
        <f t="shared" si="2"/>
        <v>4776241159</v>
      </c>
      <c r="AL10" s="58"/>
    </row>
    <row r="11" spans="2:38" x14ac:dyDescent="0.2">
      <c r="W11" s="58"/>
      <c r="X11" s="66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  <c r="AL11" s="58"/>
    </row>
    <row r="12" spans="2:38" ht="17" thickBot="1" x14ac:dyDescent="0.25">
      <c r="B12" s="69" t="s">
        <v>62</v>
      </c>
      <c r="W12" s="58"/>
      <c r="X12" s="70" t="s">
        <v>41</v>
      </c>
      <c r="Y12" s="71">
        <v>0.2</v>
      </c>
      <c r="Z12" s="71">
        <v>0.19</v>
      </c>
      <c r="AA12" s="71">
        <v>0.3</v>
      </c>
      <c r="AB12" s="71">
        <v>0.28000000000000003</v>
      </c>
      <c r="AC12" s="71">
        <v>0.23</v>
      </c>
      <c r="AD12" s="71">
        <v>7.0000000000000007E-2</v>
      </c>
      <c r="AE12" s="71">
        <v>0.19</v>
      </c>
      <c r="AF12" s="71">
        <v>0.11</v>
      </c>
      <c r="AG12" s="71">
        <v>0.21</v>
      </c>
      <c r="AH12" s="71">
        <v>0.21</v>
      </c>
      <c r="AI12" s="71">
        <v>0.16</v>
      </c>
      <c r="AJ12" s="71">
        <v>0.24</v>
      </c>
      <c r="AK12" s="71">
        <v>0.2</v>
      </c>
      <c r="AL12" s="58"/>
    </row>
    <row r="13" spans="2:38" x14ac:dyDescent="0.2">
      <c r="B13" s="55" t="s">
        <v>79</v>
      </c>
      <c r="C13" s="8">
        <v>741388913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</row>
    <row r="14" spans="2:38" ht="17" thickBot="1" x14ac:dyDescent="0.25">
      <c r="B14" s="55" t="s">
        <v>61</v>
      </c>
      <c r="C14" s="9">
        <f>C13*12</f>
        <v>8896666956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</row>
    <row r="15" spans="2:38" x14ac:dyDescent="0.2">
      <c r="W15" s="58"/>
      <c r="X15" s="29" t="s">
        <v>42</v>
      </c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58"/>
    </row>
    <row r="16" spans="2:38" x14ac:dyDescent="0.2">
      <c r="W16" s="58"/>
      <c r="X16" s="31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58"/>
    </row>
    <row r="17" spans="23:38" x14ac:dyDescent="0.2">
      <c r="W17" s="58"/>
      <c r="X17" s="33" t="s">
        <v>24</v>
      </c>
      <c r="Y17" s="12" t="s">
        <v>25</v>
      </c>
      <c r="Z17" s="12" t="s">
        <v>26</v>
      </c>
      <c r="AA17" s="12" t="s">
        <v>27</v>
      </c>
      <c r="AB17" s="12" t="s">
        <v>28</v>
      </c>
      <c r="AC17" s="12" t="s">
        <v>29</v>
      </c>
      <c r="AD17" s="12" t="s">
        <v>30</v>
      </c>
      <c r="AE17" s="12" t="s">
        <v>31</v>
      </c>
      <c r="AF17" s="12" t="s">
        <v>32</v>
      </c>
      <c r="AG17" s="12" t="s">
        <v>33</v>
      </c>
      <c r="AH17" s="12" t="s">
        <v>34</v>
      </c>
      <c r="AI17" s="12" t="s">
        <v>35</v>
      </c>
      <c r="AJ17" s="12" t="s">
        <v>36</v>
      </c>
      <c r="AK17" s="13" t="s">
        <v>20</v>
      </c>
      <c r="AL17" s="58"/>
    </row>
    <row r="18" spans="23:38" x14ac:dyDescent="0.2">
      <c r="W18" s="58"/>
      <c r="X18" s="3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6"/>
      <c r="AL18" s="58"/>
    </row>
    <row r="19" spans="23:38" x14ac:dyDescent="0.2">
      <c r="W19" s="58"/>
      <c r="X19" s="61" t="s">
        <v>38</v>
      </c>
      <c r="Y19" s="62">
        <v>2009021736</v>
      </c>
      <c r="Z19" s="62">
        <v>1836306894</v>
      </c>
      <c r="AA19" s="62">
        <v>1768759442</v>
      </c>
      <c r="AB19" s="62">
        <v>1157413290</v>
      </c>
      <c r="AC19" s="62">
        <v>1199412435</v>
      </c>
      <c r="AD19" s="62">
        <v>1619526673</v>
      </c>
      <c r="AE19" s="62">
        <v>1627351749</v>
      </c>
      <c r="AF19" s="62">
        <v>1564795878</v>
      </c>
      <c r="AG19" s="62">
        <v>1510745790</v>
      </c>
      <c r="AH19" s="62">
        <v>1493415477</v>
      </c>
      <c r="AI19" s="62">
        <v>1535571746</v>
      </c>
      <c r="AJ19" s="62">
        <v>1464415465</v>
      </c>
      <c r="AK19" s="63">
        <f>SUM(Y19:AJ19)</f>
        <v>18786736575</v>
      </c>
      <c r="AL19" s="58"/>
    </row>
    <row r="20" spans="23:38" x14ac:dyDescent="0.2">
      <c r="W20" s="58"/>
      <c r="X20" s="61" t="s">
        <v>39</v>
      </c>
      <c r="Y20" s="62">
        <v>1712288558</v>
      </c>
      <c r="Z20" s="62">
        <v>1596078085</v>
      </c>
      <c r="AA20" s="62">
        <v>1409346910</v>
      </c>
      <c r="AB20" s="62">
        <v>1160923570</v>
      </c>
      <c r="AC20" s="62">
        <v>1169086255</v>
      </c>
      <c r="AD20" s="62">
        <v>1392279879</v>
      </c>
      <c r="AE20" s="62">
        <v>1385033678</v>
      </c>
      <c r="AF20" s="62">
        <v>1368693915</v>
      </c>
      <c r="AG20" s="62">
        <v>1243651553</v>
      </c>
      <c r="AH20" s="62">
        <v>1311902597</v>
      </c>
      <c r="AI20" s="62">
        <v>1313255727</v>
      </c>
      <c r="AJ20" s="62">
        <v>1211216593</v>
      </c>
      <c r="AK20" s="64">
        <f t="shared" ref="AK20:AK21" si="3">SUM(Y20:AJ20)</f>
        <v>16273757320</v>
      </c>
      <c r="AL20" s="65"/>
    </row>
    <row r="21" spans="23:38" x14ac:dyDescent="0.2">
      <c r="W21" s="58"/>
      <c r="X21" s="61" t="s">
        <v>40</v>
      </c>
      <c r="Y21" s="62">
        <v>296733178</v>
      </c>
      <c r="Z21" s="62">
        <v>240228809</v>
      </c>
      <c r="AA21" s="62">
        <v>359412532</v>
      </c>
      <c r="AB21" s="62">
        <v>-3510280</v>
      </c>
      <c r="AC21" s="62">
        <v>30326180</v>
      </c>
      <c r="AD21" s="62">
        <v>227246794</v>
      </c>
      <c r="AE21" s="62">
        <v>242318071</v>
      </c>
      <c r="AF21" s="62">
        <v>196101963</v>
      </c>
      <c r="AG21" s="62">
        <v>267094237</v>
      </c>
      <c r="AH21" s="62">
        <v>181512880</v>
      </c>
      <c r="AI21" s="62">
        <v>222316019</v>
      </c>
      <c r="AJ21" s="62">
        <v>253198872</v>
      </c>
      <c r="AK21" s="63">
        <f t="shared" si="3"/>
        <v>2512979255</v>
      </c>
      <c r="AL21" s="58"/>
    </row>
    <row r="22" spans="23:38" ht="17" thickBot="1" x14ac:dyDescent="0.25">
      <c r="W22" s="58"/>
      <c r="X22" s="70" t="s">
        <v>41</v>
      </c>
      <c r="Y22" s="71">
        <v>0.15</v>
      </c>
      <c r="Z22" s="71">
        <v>0.13</v>
      </c>
      <c r="AA22" s="71">
        <v>0.2</v>
      </c>
      <c r="AB22" s="71">
        <v>0</v>
      </c>
      <c r="AC22" s="71">
        <v>0.03</v>
      </c>
      <c r="AD22" s="71">
        <v>0.14000000000000001</v>
      </c>
      <c r="AE22" s="71">
        <v>0.15</v>
      </c>
      <c r="AF22" s="71">
        <v>0.13</v>
      </c>
      <c r="AG22" s="71">
        <v>0.18</v>
      </c>
      <c r="AH22" s="71">
        <v>0.12</v>
      </c>
      <c r="AI22" s="71">
        <v>0.14000000000000001</v>
      </c>
      <c r="AJ22" s="71">
        <v>0.17</v>
      </c>
      <c r="AK22" s="71">
        <v>0.13</v>
      </c>
      <c r="AL22" s="58"/>
    </row>
    <row r="24" spans="23:38" ht="17" thickBot="1" x14ac:dyDescent="0.25"/>
    <row r="25" spans="23:38" ht="15" customHeight="1" x14ac:dyDescent="0.2">
      <c r="X25" s="23" t="s">
        <v>43</v>
      </c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72"/>
    </row>
    <row r="26" spans="23:38" ht="15" customHeight="1" x14ac:dyDescent="0.2">
      <c r="X26" s="25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72"/>
    </row>
    <row r="27" spans="23:38" ht="20.25" customHeight="1" x14ac:dyDescent="0.2">
      <c r="X27" s="27" t="s">
        <v>24</v>
      </c>
      <c r="Y27" s="18" t="s">
        <v>25</v>
      </c>
      <c r="Z27" s="18" t="s">
        <v>26</v>
      </c>
      <c r="AA27" s="18" t="s">
        <v>27</v>
      </c>
      <c r="AB27" s="18" t="s">
        <v>28</v>
      </c>
      <c r="AC27" s="18" t="s">
        <v>29</v>
      </c>
      <c r="AD27" s="18" t="s">
        <v>30</v>
      </c>
      <c r="AE27" s="18" t="s">
        <v>31</v>
      </c>
      <c r="AF27" s="18" t="s">
        <v>32</v>
      </c>
      <c r="AG27" s="18" t="s">
        <v>33</v>
      </c>
      <c r="AH27" s="18" t="s">
        <v>34</v>
      </c>
      <c r="AI27" s="18" t="s">
        <v>35</v>
      </c>
      <c r="AJ27" s="18" t="s">
        <v>36</v>
      </c>
      <c r="AK27" s="19" t="s">
        <v>20</v>
      </c>
      <c r="AL27" s="72"/>
    </row>
    <row r="28" spans="23:38" ht="20.25" customHeight="1" x14ac:dyDescent="0.2">
      <c r="X28" s="28"/>
      <c r="Y28" s="17" t="s">
        <v>37</v>
      </c>
      <c r="Z28" s="17" t="s">
        <v>37</v>
      </c>
      <c r="AA28" s="17" t="s">
        <v>37</v>
      </c>
      <c r="AB28" s="17" t="s">
        <v>37</v>
      </c>
      <c r="AC28" s="17" t="s">
        <v>37</v>
      </c>
      <c r="AD28" s="17" t="s">
        <v>37</v>
      </c>
      <c r="AE28" s="17" t="s">
        <v>37</v>
      </c>
      <c r="AF28" s="17" t="s">
        <v>37</v>
      </c>
      <c r="AG28" s="17" t="s">
        <v>37</v>
      </c>
      <c r="AH28" s="17" t="s">
        <v>37</v>
      </c>
      <c r="AI28" s="17" t="s">
        <v>37</v>
      </c>
      <c r="AJ28" s="17" t="s">
        <v>37</v>
      </c>
      <c r="AK28" s="17" t="s">
        <v>37</v>
      </c>
      <c r="AL28" s="72"/>
    </row>
    <row r="29" spans="23:38" ht="20.25" customHeight="1" x14ac:dyDescent="0.2">
      <c r="X29" s="73" t="s">
        <v>38</v>
      </c>
      <c r="Y29" s="74">
        <v>1385507695</v>
      </c>
      <c r="Z29" s="74">
        <v>1278895218</v>
      </c>
      <c r="AA29" s="74">
        <v>1553567914</v>
      </c>
      <c r="AB29" s="74">
        <v>1498335904</v>
      </c>
      <c r="AC29" s="74">
        <v>1513880023</v>
      </c>
      <c r="AD29" s="74">
        <v>1485989484</v>
      </c>
      <c r="AE29" s="74">
        <v>1202244634</v>
      </c>
      <c r="AF29" s="74">
        <v>1288769316</v>
      </c>
      <c r="AG29" s="74">
        <v>1473730335</v>
      </c>
      <c r="AH29" s="74">
        <v>1549826183</v>
      </c>
      <c r="AI29" s="74">
        <v>1525332695</v>
      </c>
      <c r="AJ29" s="74">
        <v>1570156148</v>
      </c>
      <c r="AK29" s="63">
        <f t="shared" ref="AK29:AK31" si="4">SUM(Y29:AJ29)</f>
        <v>17326235549</v>
      </c>
      <c r="AL29" s="72"/>
    </row>
    <row r="30" spans="23:38" ht="20.25" customHeight="1" x14ac:dyDescent="0.2">
      <c r="X30" s="73" t="s">
        <v>39</v>
      </c>
      <c r="Y30" s="74">
        <v>1240219258.4195299</v>
      </c>
      <c r="Z30" s="74">
        <v>1197401745.0401101</v>
      </c>
      <c r="AA30" s="74">
        <v>1265483275.2829499</v>
      </c>
      <c r="AB30" s="74">
        <v>1333070616.9105799</v>
      </c>
      <c r="AC30" s="74">
        <v>1313834759.7397101</v>
      </c>
      <c r="AD30" s="74">
        <v>1228318489.5090098</v>
      </c>
      <c r="AE30" s="74">
        <v>1066084813.28306</v>
      </c>
      <c r="AF30" s="74">
        <v>1143888148.5901999</v>
      </c>
      <c r="AG30" s="74">
        <v>1297990406.0931401</v>
      </c>
      <c r="AH30" s="74">
        <v>1329996337.9634202</v>
      </c>
      <c r="AI30" s="74">
        <v>1295071113.35763</v>
      </c>
      <c r="AJ30" s="74">
        <v>1263656140.3652401</v>
      </c>
      <c r="AK30" s="64">
        <f t="shared" si="4"/>
        <v>14975015104.554581</v>
      </c>
      <c r="AL30" s="72"/>
    </row>
    <row r="31" spans="23:38" ht="20.25" customHeight="1" x14ac:dyDescent="0.2">
      <c r="X31" s="73" t="s">
        <v>40</v>
      </c>
      <c r="Y31" s="74">
        <f t="shared" ref="Y31:AJ31" si="5">Y29-Y30</f>
        <v>145288436.58047009</v>
      </c>
      <c r="Z31" s="74">
        <f t="shared" si="5"/>
        <v>81493472.959889889</v>
      </c>
      <c r="AA31" s="74">
        <f t="shared" si="5"/>
        <v>288084638.71705008</v>
      </c>
      <c r="AB31" s="74">
        <f t="shared" si="5"/>
        <v>165265287.08942008</v>
      </c>
      <c r="AC31" s="74">
        <f t="shared" si="5"/>
        <v>200045263.26028991</v>
      </c>
      <c r="AD31" s="74">
        <f t="shared" si="5"/>
        <v>257670994.49099016</v>
      </c>
      <c r="AE31" s="74">
        <f t="shared" si="5"/>
        <v>136159820.71694005</v>
      </c>
      <c r="AF31" s="74">
        <f t="shared" si="5"/>
        <v>144881167.40980005</v>
      </c>
      <c r="AG31" s="74">
        <f t="shared" si="5"/>
        <v>175739928.90685987</v>
      </c>
      <c r="AH31" s="74">
        <f t="shared" si="5"/>
        <v>219829845.03657985</v>
      </c>
      <c r="AI31" s="74">
        <f t="shared" si="5"/>
        <v>230261581.64236999</v>
      </c>
      <c r="AJ31" s="74">
        <f t="shared" si="5"/>
        <v>306500007.6347599</v>
      </c>
      <c r="AK31" s="63">
        <f t="shared" si="4"/>
        <v>2351220444.4454198</v>
      </c>
      <c r="AL31" s="72"/>
    </row>
    <row r="32" spans="23:38" ht="20.25" customHeight="1" thickBot="1" x14ac:dyDescent="0.25">
      <c r="X32" s="75" t="s">
        <v>41</v>
      </c>
      <c r="Y32" s="76">
        <f>Y31/Y29</f>
        <v>0.1048629589750998</v>
      </c>
      <c r="Z32" s="76">
        <f t="shared" ref="Z32:AK32" si="6">Z31/Z29</f>
        <v>6.3721774710623624E-2</v>
      </c>
      <c r="AA32" s="76">
        <f t="shared" si="6"/>
        <v>0.18543420993763526</v>
      </c>
      <c r="AB32" s="76">
        <f t="shared" si="6"/>
        <v>0.11029922372428184</v>
      </c>
      <c r="AC32" s="76">
        <f t="shared" si="6"/>
        <v>0.13214076427527435</v>
      </c>
      <c r="AD32" s="76">
        <f t="shared" si="6"/>
        <v>0.1734002812707591</v>
      </c>
      <c r="AE32" s="76">
        <f t="shared" si="6"/>
        <v>0.11325467119276827</v>
      </c>
      <c r="AF32" s="76">
        <f t="shared" si="6"/>
        <v>0.11241823157263937</v>
      </c>
      <c r="AG32" s="76">
        <f t="shared" si="6"/>
        <v>0.11924836229068995</v>
      </c>
      <c r="AH32" s="76">
        <f t="shared" si="6"/>
        <v>0.14184161259364905</v>
      </c>
      <c r="AI32" s="76">
        <f t="shared" si="6"/>
        <v>0.15095826792224498</v>
      </c>
      <c r="AJ32" s="76">
        <f t="shared" si="6"/>
        <v>0.19520352037927372</v>
      </c>
      <c r="AK32" s="76">
        <f t="shared" si="6"/>
        <v>0.13570290198329449</v>
      </c>
      <c r="AL32" s="72"/>
    </row>
    <row r="33" spans="24:38" x14ac:dyDescent="0.2">
      <c r="AL33" s="72"/>
    </row>
    <row r="34" spans="24:38" ht="17" thickBot="1" x14ac:dyDescent="0.25">
      <c r="AL34" s="72"/>
    </row>
    <row r="35" spans="24:38" ht="15" customHeight="1" x14ac:dyDescent="0.2">
      <c r="X35" s="23" t="s">
        <v>44</v>
      </c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72"/>
    </row>
    <row r="36" spans="24:38" ht="15" customHeight="1" x14ac:dyDescent="0.2">
      <c r="X36" s="25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72"/>
    </row>
    <row r="37" spans="24:38" ht="20.25" customHeight="1" x14ac:dyDescent="0.2">
      <c r="X37" s="27" t="s">
        <v>24</v>
      </c>
      <c r="Y37" s="18" t="s">
        <v>25</v>
      </c>
      <c r="Z37" s="18" t="s">
        <v>26</v>
      </c>
      <c r="AA37" s="18" t="s">
        <v>27</v>
      </c>
      <c r="AB37" s="18" t="s">
        <v>28</v>
      </c>
      <c r="AC37" s="18" t="s">
        <v>29</v>
      </c>
      <c r="AD37" s="18" t="s">
        <v>30</v>
      </c>
      <c r="AE37" s="18" t="s">
        <v>31</v>
      </c>
      <c r="AF37" s="18" t="s">
        <v>32</v>
      </c>
      <c r="AG37" s="18" t="s">
        <v>33</v>
      </c>
      <c r="AH37" s="18" t="s">
        <v>34</v>
      </c>
      <c r="AI37" s="18" t="s">
        <v>35</v>
      </c>
      <c r="AJ37" s="18" t="s">
        <v>36</v>
      </c>
      <c r="AK37" s="19" t="s">
        <v>20</v>
      </c>
      <c r="AL37" s="72"/>
    </row>
    <row r="38" spans="24:38" ht="20.25" customHeight="1" x14ac:dyDescent="0.2">
      <c r="X38" s="28"/>
      <c r="Y38" s="17" t="s">
        <v>37</v>
      </c>
      <c r="Z38" s="17" t="s">
        <v>37</v>
      </c>
      <c r="AA38" s="17" t="s">
        <v>37</v>
      </c>
      <c r="AB38" s="17" t="s">
        <v>37</v>
      </c>
      <c r="AC38" s="17" t="s">
        <v>37</v>
      </c>
      <c r="AD38" s="17" t="s">
        <v>37</v>
      </c>
      <c r="AE38" s="17" t="s">
        <v>37</v>
      </c>
      <c r="AF38" s="17" t="s">
        <v>37</v>
      </c>
      <c r="AG38" s="17" t="s">
        <v>37</v>
      </c>
      <c r="AH38" s="17" t="s">
        <v>37</v>
      </c>
      <c r="AI38" s="17" t="s">
        <v>37</v>
      </c>
      <c r="AJ38" s="17" t="s">
        <v>37</v>
      </c>
      <c r="AK38" s="17" t="s">
        <v>37</v>
      </c>
      <c r="AL38" s="72"/>
    </row>
    <row r="39" spans="24:38" ht="20.25" customHeight="1" x14ac:dyDescent="0.2">
      <c r="X39" s="73" t="s">
        <v>38</v>
      </c>
      <c r="Y39" s="74">
        <v>1527852327</v>
      </c>
      <c r="Z39" s="74">
        <v>1226812465</v>
      </c>
      <c r="AA39" s="74">
        <v>1466469354</v>
      </c>
      <c r="AB39" s="74">
        <v>1446350581</v>
      </c>
      <c r="AC39" s="74">
        <v>1485219611</v>
      </c>
      <c r="AD39" s="74">
        <v>1612400274</v>
      </c>
      <c r="AE39" s="74">
        <v>1665229226</v>
      </c>
      <c r="AF39" s="74">
        <v>1734078744</v>
      </c>
      <c r="AG39" s="74"/>
      <c r="AH39" s="74"/>
      <c r="AI39" s="74"/>
      <c r="AJ39" s="74"/>
      <c r="AK39" s="63">
        <f t="shared" ref="AK39:AK41" si="7">SUM(Y39:AJ39)</f>
        <v>12164412582</v>
      </c>
      <c r="AL39" s="72"/>
    </row>
    <row r="40" spans="24:38" ht="20.25" customHeight="1" x14ac:dyDescent="0.2">
      <c r="X40" s="73" t="s">
        <v>39</v>
      </c>
      <c r="Y40" s="74">
        <v>1236166307.58197</v>
      </c>
      <c r="Z40" s="74">
        <v>1030169987.7952399</v>
      </c>
      <c r="AA40" s="74">
        <v>1155845619.4536901</v>
      </c>
      <c r="AB40" s="74">
        <v>1207562673.16517</v>
      </c>
      <c r="AC40" s="74">
        <v>1249363782.98457</v>
      </c>
      <c r="AD40" s="74">
        <v>1285715886.2481</v>
      </c>
      <c r="AE40" s="74">
        <v>1357633776.09799</v>
      </c>
      <c r="AF40" s="74">
        <v>1325818183.7151198</v>
      </c>
      <c r="AG40" s="74">
        <v>1325818183.7151198</v>
      </c>
      <c r="AH40" s="74">
        <v>1325818183.7151198</v>
      </c>
      <c r="AI40" s="74">
        <v>1325818183.7151198</v>
      </c>
      <c r="AJ40" s="74">
        <v>1325818183.7151198</v>
      </c>
      <c r="AK40" s="64">
        <f t="shared" si="7"/>
        <v>15151548951.902332</v>
      </c>
      <c r="AL40" s="72"/>
    </row>
    <row r="41" spans="24:38" ht="20.25" customHeight="1" x14ac:dyDescent="0.2">
      <c r="X41" s="73" t="s">
        <v>40</v>
      </c>
      <c r="Y41" s="74">
        <f t="shared" ref="Y41:AC41" si="8">Y39-Y40</f>
        <v>291686019.41803002</v>
      </c>
      <c r="Z41" s="74">
        <f t="shared" si="8"/>
        <v>196642477.20476007</v>
      </c>
      <c r="AA41" s="74">
        <f t="shared" si="8"/>
        <v>310623734.54630995</v>
      </c>
      <c r="AB41" s="74">
        <f t="shared" si="8"/>
        <v>238787907.83483005</v>
      </c>
      <c r="AC41" s="74">
        <f t="shared" si="8"/>
        <v>235855828.01542997</v>
      </c>
      <c r="AD41" s="77">
        <f>AD39-AD40</f>
        <v>326684387.75189996</v>
      </c>
      <c r="AE41" s="77">
        <f>AE39-AE40</f>
        <v>307595449.90200996</v>
      </c>
      <c r="AF41" s="77">
        <f>AF39-AF40</f>
        <v>408260560.28488016</v>
      </c>
      <c r="AG41" s="74"/>
      <c r="AH41" s="74"/>
      <c r="AI41" s="74"/>
      <c r="AJ41" s="74"/>
      <c r="AK41" s="63">
        <f t="shared" si="7"/>
        <v>2316136364.9581499</v>
      </c>
      <c r="AL41" s="72"/>
    </row>
    <row r="42" spans="24:38" ht="20.25" customHeight="1" thickBot="1" x14ac:dyDescent="0.25">
      <c r="X42" s="75" t="s">
        <v>41</v>
      </c>
      <c r="Y42" s="76">
        <f>Y41/Y39</f>
        <v>0.19091244242875707</v>
      </c>
      <c r="Z42" s="76">
        <f t="shared" ref="Z42:AF42" si="9">Z41/Z39</f>
        <v>0.16028731596296591</v>
      </c>
      <c r="AA42" s="76">
        <f t="shared" si="9"/>
        <v>0.21181740600241003</v>
      </c>
      <c r="AB42" s="76">
        <f t="shared" si="9"/>
        <v>0.16509683818824425</v>
      </c>
      <c r="AC42" s="76">
        <f t="shared" si="9"/>
        <v>0.15880198878913804</v>
      </c>
      <c r="AD42" s="76">
        <f t="shared" si="9"/>
        <v>0.20260749952706841</v>
      </c>
      <c r="AE42" s="76">
        <f t="shared" si="9"/>
        <v>0.18471658141676764</v>
      </c>
      <c r="AF42" s="76">
        <f t="shared" si="9"/>
        <v>0.23543369163452485</v>
      </c>
      <c r="AG42" s="76"/>
      <c r="AH42" s="76"/>
      <c r="AI42" s="76"/>
      <c r="AJ42" s="76"/>
      <c r="AK42" s="76">
        <f>AK41/AK39</f>
        <v>0.19040264783401029</v>
      </c>
      <c r="AL42" s="72"/>
    </row>
  </sheetData>
  <mergeCells count="8">
    <mergeCell ref="X35:AK36"/>
    <mergeCell ref="X37:X38"/>
    <mergeCell ref="X3:AK4"/>
    <mergeCell ref="X5:X6"/>
    <mergeCell ref="X15:AK16"/>
    <mergeCell ref="X17:X18"/>
    <mergeCell ref="X25:AK26"/>
    <mergeCell ref="X27:X28"/>
  </mergeCells>
  <pageMargins left="0.7" right="0.7" top="0.75" bottom="0.75" header="0.3" footer="0.3"/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dimension ref="B2:AL40"/>
  <sheetViews>
    <sheetView showGridLines="0" zoomScaleNormal="100" workbookViewId="0">
      <selection activeCell="N24" sqref="N2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55" t="s">
        <v>56</v>
      </c>
      <c r="F2" s="56">
        <f>Summary!$C$3</f>
        <v>0.81528309395361787</v>
      </c>
      <c r="G2" s="78">
        <f>Summary!$D$3</f>
        <v>0.83876664785752686</v>
      </c>
      <c r="H2" s="79">
        <f>Summary!$E$3</f>
        <v>0.88310463162608033</v>
      </c>
      <c r="I2" s="79">
        <f>Summary!$F$3</f>
        <v>0.88127529424826756</v>
      </c>
      <c r="J2" s="79">
        <f>Summary!$G$3</f>
        <v>0.87793438572257054</v>
      </c>
      <c r="K2" s="79">
        <f>Summary!$H$3</f>
        <v>0.85651455446251945</v>
      </c>
      <c r="L2" s="79">
        <f>Summary!$I$3</f>
        <v>0.82931228336920126</v>
      </c>
      <c r="M2" s="79">
        <f>Summary!$J$3</f>
        <v>0.82930405108345184</v>
      </c>
      <c r="N2" s="79">
        <f>Summary!$K$3</f>
        <v>0.82930405108345184</v>
      </c>
      <c r="O2" s="79">
        <f>Summary!$L$3</f>
        <v>0.82930405108345184</v>
      </c>
      <c r="P2" s="79">
        <f>Summary!$M$3</f>
        <v>0.82930405108345184</v>
      </c>
    </row>
    <row r="3" spans="2:38" ht="20" customHeight="1" thickBot="1" x14ac:dyDescent="0.25">
      <c r="B3" s="57" t="s">
        <v>47</v>
      </c>
      <c r="C3" s="57" t="s">
        <v>58</v>
      </c>
      <c r="D3" s="57" t="s">
        <v>59</v>
      </c>
      <c r="E3" s="57" t="s">
        <v>60</v>
      </c>
      <c r="F3" s="57" t="s">
        <v>46</v>
      </c>
      <c r="G3" s="80" t="s">
        <v>9</v>
      </c>
      <c r="H3" s="81" t="s">
        <v>10</v>
      </c>
      <c r="I3" s="81" t="s">
        <v>11</v>
      </c>
      <c r="J3" s="81" t="s">
        <v>12</v>
      </c>
      <c r="K3" s="81" t="s">
        <v>13</v>
      </c>
      <c r="L3" s="81" t="s">
        <v>14</v>
      </c>
      <c r="M3" s="81" t="s">
        <v>15</v>
      </c>
      <c r="N3" s="81" t="s">
        <v>16</v>
      </c>
      <c r="O3" s="81" t="s">
        <v>17</v>
      </c>
      <c r="P3" s="81" t="s">
        <v>18</v>
      </c>
      <c r="W3" s="58"/>
      <c r="X3" s="29" t="s">
        <v>23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58"/>
    </row>
    <row r="4" spans="2:38" ht="20" customHeight="1" thickBot="1" x14ac:dyDescent="0.25">
      <c r="B4" s="1" t="s">
        <v>57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82">
        <v>16399663023.428572</v>
      </c>
      <c r="H4" s="83">
        <f>Table36[[#This Row],[2023]]+(H2-G2)*100*$H$9</f>
        <v>18754508191.28532</v>
      </c>
      <c r="I4" s="83">
        <f>Table36[[#This Row],[2024]]+(I2-H2)*100*$H$9</f>
        <v>18657349820.101616</v>
      </c>
      <c r="J4" s="83">
        <f>Table36[[#This Row],[2025]]+(J2-I2)*100*$H$9</f>
        <v>18479910035.309937</v>
      </c>
      <c r="K4" s="83">
        <f>Table36[[#This Row],[2026]]+(K2-J2)*100*$H$9</f>
        <v>17342276298.910473</v>
      </c>
      <c r="L4" s="83">
        <f>Table36[[#This Row],[2027]]+(L2-K2)*100*$H$9</f>
        <v>15897530029.589542</v>
      </c>
      <c r="M4" s="83">
        <f>Table36[[#This Row],[2028]]+(M2-L2)*100*$H$9</f>
        <v>15897092802.709343</v>
      </c>
      <c r="N4" s="83">
        <f>Table36[[#This Row],[2029]]+(N2-M2)*100*$H$9</f>
        <v>15897092802.709343</v>
      </c>
      <c r="O4" s="83">
        <f>Table36[[#This Row],[2030]]+(O2-N2)*100*$H$9</f>
        <v>15897092802.709343</v>
      </c>
      <c r="P4" s="83">
        <f>Table36[[#This Row],[2031]]+(P2-O2)*100*$H$9</f>
        <v>15897092802.709343</v>
      </c>
      <c r="Q4" s="95"/>
      <c r="W4" s="58"/>
      <c r="X4" s="31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58"/>
    </row>
    <row r="5" spans="2:38" x14ac:dyDescent="0.2">
      <c r="G5" s="84"/>
      <c r="H5" s="85"/>
      <c r="I5" s="85"/>
      <c r="J5" s="85"/>
      <c r="K5" s="85"/>
      <c r="L5" s="85"/>
      <c r="M5" s="85"/>
      <c r="N5" s="85"/>
      <c r="O5" s="85"/>
      <c r="P5" s="85"/>
      <c r="W5" s="58"/>
      <c r="X5" s="33" t="s">
        <v>24</v>
      </c>
      <c r="Y5" s="12" t="s">
        <v>25</v>
      </c>
      <c r="Z5" s="12" t="s">
        <v>26</v>
      </c>
      <c r="AA5" s="12" t="s">
        <v>27</v>
      </c>
      <c r="AB5" s="12" t="s">
        <v>28</v>
      </c>
      <c r="AC5" s="12" t="s">
        <v>29</v>
      </c>
      <c r="AD5" s="12" t="s">
        <v>30</v>
      </c>
      <c r="AE5" s="12" t="s">
        <v>31</v>
      </c>
      <c r="AF5" s="12" t="s">
        <v>32</v>
      </c>
      <c r="AG5" s="12" t="s">
        <v>33</v>
      </c>
      <c r="AH5" s="12" t="s">
        <v>34</v>
      </c>
      <c r="AI5" s="12" t="s">
        <v>35</v>
      </c>
      <c r="AJ5" s="12" t="s">
        <v>36</v>
      </c>
      <c r="AK5" s="13" t="s">
        <v>20</v>
      </c>
      <c r="AL5" s="58"/>
    </row>
    <row r="6" spans="2:38" x14ac:dyDescent="0.2">
      <c r="C6" s="86"/>
      <c r="D6" s="86"/>
      <c r="E6" s="86"/>
      <c r="F6" s="86"/>
      <c r="G6" s="87"/>
      <c r="H6" s="88"/>
      <c r="I6" s="88"/>
      <c r="J6" s="88"/>
      <c r="K6" s="85"/>
      <c r="L6" s="85"/>
      <c r="M6" s="85"/>
      <c r="N6" s="85"/>
      <c r="O6" s="85"/>
      <c r="P6" s="85"/>
      <c r="W6" s="58"/>
      <c r="X6" s="3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58"/>
    </row>
    <row r="7" spans="2:38" x14ac:dyDescent="0.2">
      <c r="G7" s="84"/>
      <c r="H7" s="85"/>
      <c r="I7" s="85"/>
      <c r="J7" s="85"/>
      <c r="K7" s="85"/>
      <c r="L7" s="85"/>
      <c r="M7" s="85"/>
      <c r="N7" s="85"/>
      <c r="O7" s="85"/>
      <c r="P7" s="85"/>
      <c r="W7" s="58"/>
      <c r="X7" s="61" t="s">
        <v>38</v>
      </c>
      <c r="Y7" s="62">
        <v>1828600993</v>
      </c>
      <c r="Z7" s="62">
        <v>1745141108</v>
      </c>
      <c r="AA7" s="62">
        <v>1942816860</v>
      </c>
      <c r="AB7" s="62">
        <v>1920153687</v>
      </c>
      <c r="AC7" s="62">
        <v>2095867421</v>
      </c>
      <c r="AD7" s="62">
        <v>1840315562</v>
      </c>
      <c r="AE7" s="62">
        <v>2153287355</v>
      </c>
      <c r="AF7" s="62">
        <v>1920548468</v>
      </c>
      <c r="AG7" s="62">
        <v>2083622376</v>
      </c>
      <c r="AH7" s="62">
        <v>2238172090</v>
      </c>
      <c r="AI7" s="62">
        <v>2127067741</v>
      </c>
      <c r="AJ7" s="62">
        <v>2064953768</v>
      </c>
      <c r="AK7" s="63">
        <f>SUM(Y7:AJ7)</f>
        <v>23960547429</v>
      </c>
      <c r="AL7" s="58"/>
    </row>
    <row r="8" spans="2:38" x14ac:dyDescent="0.2">
      <c r="G8" s="89" t="s">
        <v>70</v>
      </c>
      <c r="H8" s="90" t="s">
        <v>71</v>
      </c>
      <c r="I8" s="85"/>
      <c r="J8" s="85"/>
      <c r="K8" s="85"/>
      <c r="L8" s="85"/>
      <c r="M8" s="85"/>
      <c r="N8" s="85"/>
      <c r="O8" s="85"/>
      <c r="P8" s="85"/>
      <c r="W8" s="58"/>
      <c r="X8" s="61" t="s">
        <v>39</v>
      </c>
      <c r="Y8" s="62">
        <v>1464166513</v>
      </c>
      <c r="Z8" s="62">
        <v>1414936358</v>
      </c>
      <c r="AA8" s="62">
        <v>1357083300</v>
      </c>
      <c r="AB8" s="62">
        <v>1388031906</v>
      </c>
      <c r="AC8" s="62">
        <v>1607714938</v>
      </c>
      <c r="AD8" s="62">
        <v>1718436321</v>
      </c>
      <c r="AE8" s="62">
        <v>1752236298</v>
      </c>
      <c r="AF8" s="62">
        <v>1703714897</v>
      </c>
      <c r="AG8" s="62">
        <v>1643490893</v>
      </c>
      <c r="AH8" s="62">
        <v>1776976086</v>
      </c>
      <c r="AI8" s="62">
        <v>1783782368</v>
      </c>
      <c r="AJ8" s="62">
        <v>1573736392</v>
      </c>
      <c r="AK8" s="64">
        <f t="shared" ref="AK8:AK9" si="0">SUM(Y8:AJ8)</f>
        <v>19184306270</v>
      </c>
      <c r="AL8" s="65"/>
    </row>
    <row r="9" spans="2:38" x14ac:dyDescent="0.2">
      <c r="G9" s="91" cm="1">
        <f t="array" ref="G9">Table36[2023]-Table36[2022]</f>
        <v>1248114071.5262394</v>
      </c>
      <c r="H9" s="92">
        <f>G9/(G8*100)</f>
        <v>531112370.86222953</v>
      </c>
      <c r="I9" s="85"/>
      <c r="J9" s="85"/>
      <c r="K9" s="85"/>
      <c r="L9" s="85"/>
      <c r="M9" s="85"/>
      <c r="N9" s="85"/>
      <c r="O9" s="85"/>
      <c r="P9" s="85"/>
      <c r="W9" s="58"/>
      <c r="X9" s="61" t="s">
        <v>40</v>
      </c>
      <c r="Y9" s="62">
        <v>364434480</v>
      </c>
      <c r="Z9" s="62">
        <v>330204750</v>
      </c>
      <c r="AA9" s="62">
        <v>585733560</v>
      </c>
      <c r="AB9" s="62">
        <v>532121781</v>
      </c>
      <c r="AC9" s="62">
        <v>488152483</v>
      </c>
      <c r="AD9" s="62">
        <v>121879241</v>
      </c>
      <c r="AE9" s="62">
        <v>401051057</v>
      </c>
      <c r="AF9" s="62">
        <v>216833571</v>
      </c>
      <c r="AG9" s="62">
        <v>440131483</v>
      </c>
      <c r="AH9" s="62">
        <v>461196004</v>
      </c>
      <c r="AI9" s="62">
        <v>343285373</v>
      </c>
      <c r="AJ9" s="62">
        <v>491217376</v>
      </c>
      <c r="AK9" s="63">
        <f t="shared" si="0"/>
        <v>4776241159</v>
      </c>
      <c r="AL9" s="58"/>
    </row>
    <row r="10" spans="2:38" ht="17" thickBot="1" x14ac:dyDescent="0.25">
      <c r="G10" s="84"/>
      <c r="H10" s="85"/>
      <c r="I10" s="85"/>
      <c r="J10" s="85"/>
      <c r="K10" s="85"/>
      <c r="L10" s="85"/>
      <c r="M10" s="85"/>
      <c r="N10" s="85"/>
      <c r="O10" s="85"/>
      <c r="P10" s="85"/>
      <c r="W10" s="58"/>
      <c r="X10" s="70" t="s">
        <v>41</v>
      </c>
      <c r="Y10" s="71">
        <v>0.2</v>
      </c>
      <c r="Z10" s="71">
        <v>0.19</v>
      </c>
      <c r="AA10" s="71">
        <v>0.3</v>
      </c>
      <c r="AB10" s="71">
        <v>0.28000000000000003</v>
      </c>
      <c r="AC10" s="71">
        <v>0.23</v>
      </c>
      <c r="AD10" s="71">
        <v>7.0000000000000007E-2</v>
      </c>
      <c r="AE10" s="71">
        <v>0.19</v>
      </c>
      <c r="AF10" s="71">
        <v>0.11</v>
      </c>
      <c r="AG10" s="71">
        <v>0.21</v>
      </c>
      <c r="AH10" s="71">
        <v>0.21</v>
      </c>
      <c r="AI10" s="71">
        <v>0.16</v>
      </c>
      <c r="AJ10" s="71">
        <v>0.24</v>
      </c>
      <c r="AK10" s="71">
        <v>0.2</v>
      </c>
      <c r="AL10" s="58"/>
    </row>
    <row r="11" spans="2:38" x14ac:dyDescent="0.2"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</row>
    <row r="12" spans="2:38" ht="17" thickBot="1" x14ac:dyDescent="0.25"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</row>
    <row r="13" spans="2:38" x14ac:dyDescent="0.2">
      <c r="W13" s="58"/>
      <c r="X13" s="29" t="s">
        <v>42</v>
      </c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58"/>
    </row>
    <row r="14" spans="2:38" x14ac:dyDescent="0.2">
      <c r="F14" s="93" t="s">
        <v>74</v>
      </c>
      <c r="G14" s="94" t="s">
        <v>75</v>
      </c>
      <c r="W14" s="58"/>
      <c r="X14" s="31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58"/>
    </row>
    <row r="15" spans="2:38" x14ac:dyDescent="0.2">
      <c r="W15" s="58"/>
      <c r="X15" s="33" t="s">
        <v>24</v>
      </c>
      <c r="Y15" s="12" t="s">
        <v>25</v>
      </c>
      <c r="Z15" s="12" t="s">
        <v>26</v>
      </c>
      <c r="AA15" s="12" t="s">
        <v>27</v>
      </c>
      <c r="AB15" s="12" t="s">
        <v>28</v>
      </c>
      <c r="AC15" s="12" t="s">
        <v>29</v>
      </c>
      <c r="AD15" s="12" t="s">
        <v>30</v>
      </c>
      <c r="AE15" s="12" t="s">
        <v>31</v>
      </c>
      <c r="AF15" s="12" t="s">
        <v>32</v>
      </c>
      <c r="AG15" s="12" t="s">
        <v>33</v>
      </c>
      <c r="AH15" s="12" t="s">
        <v>34</v>
      </c>
      <c r="AI15" s="12" t="s">
        <v>35</v>
      </c>
      <c r="AJ15" s="12" t="s">
        <v>36</v>
      </c>
      <c r="AK15" s="13" t="s">
        <v>20</v>
      </c>
      <c r="AL15" s="58"/>
    </row>
    <row r="16" spans="2:38" x14ac:dyDescent="0.2">
      <c r="W16" s="58"/>
      <c r="X16" s="3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58"/>
    </row>
    <row r="17" spans="23:38" x14ac:dyDescent="0.2">
      <c r="W17" s="58"/>
      <c r="X17" s="61" t="s">
        <v>38</v>
      </c>
      <c r="Y17" s="62">
        <v>2009021736</v>
      </c>
      <c r="Z17" s="62">
        <v>1836306894</v>
      </c>
      <c r="AA17" s="62">
        <v>1768759442</v>
      </c>
      <c r="AB17" s="62">
        <v>1157413290</v>
      </c>
      <c r="AC17" s="62">
        <v>1199412435</v>
      </c>
      <c r="AD17" s="62">
        <v>1619526673</v>
      </c>
      <c r="AE17" s="62">
        <v>1627351749</v>
      </c>
      <c r="AF17" s="62">
        <v>1564795878</v>
      </c>
      <c r="AG17" s="62">
        <v>1510745790</v>
      </c>
      <c r="AH17" s="62">
        <v>1493415477</v>
      </c>
      <c r="AI17" s="62">
        <v>1535571746</v>
      </c>
      <c r="AJ17" s="62">
        <v>1464415465</v>
      </c>
      <c r="AK17" s="63">
        <f>SUM(Y17:AJ17)</f>
        <v>18786736575</v>
      </c>
      <c r="AL17" s="58"/>
    </row>
    <row r="18" spans="23:38" x14ac:dyDescent="0.2">
      <c r="W18" s="58"/>
      <c r="X18" s="61" t="s">
        <v>39</v>
      </c>
      <c r="Y18" s="62">
        <v>1712288558</v>
      </c>
      <c r="Z18" s="62">
        <v>1596078085</v>
      </c>
      <c r="AA18" s="62">
        <v>1409346910</v>
      </c>
      <c r="AB18" s="62">
        <v>1160923570</v>
      </c>
      <c r="AC18" s="62">
        <v>1169086255</v>
      </c>
      <c r="AD18" s="62">
        <v>1392279879</v>
      </c>
      <c r="AE18" s="62">
        <v>1385033678</v>
      </c>
      <c r="AF18" s="62">
        <v>1368693915</v>
      </c>
      <c r="AG18" s="62">
        <v>1243651553</v>
      </c>
      <c r="AH18" s="62">
        <v>1311902597</v>
      </c>
      <c r="AI18" s="62">
        <v>1313255727</v>
      </c>
      <c r="AJ18" s="62">
        <v>1211216593</v>
      </c>
      <c r="AK18" s="64">
        <f t="shared" ref="AK18:AK19" si="1">SUM(Y18:AJ18)</f>
        <v>16273757320</v>
      </c>
      <c r="AL18" s="65"/>
    </row>
    <row r="19" spans="23:38" x14ac:dyDescent="0.2">
      <c r="W19" s="58"/>
      <c r="X19" s="61" t="s">
        <v>40</v>
      </c>
      <c r="Y19" s="62">
        <v>296733178</v>
      </c>
      <c r="Z19" s="62">
        <v>240228809</v>
      </c>
      <c r="AA19" s="62">
        <v>359412532</v>
      </c>
      <c r="AB19" s="62">
        <v>-3510280</v>
      </c>
      <c r="AC19" s="62">
        <v>30326180</v>
      </c>
      <c r="AD19" s="62">
        <v>227246794</v>
      </c>
      <c r="AE19" s="62">
        <v>242318071</v>
      </c>
      <c r="AF19" s="62">
        <v>196101963</v>
      </c>
      <c r="AG19" s="62">
        <v>267094237</v>
      </c>
      <c r="AH19" s="62">
        <v>181512880</v>
      </c>
      <c r="AI19" s="62">
        <v>222316019</v>
      </c>
      <c r="AJ19" s="62">
        <v>253198872</v>
      </c>
      <c r="AK19" s="63">
        <f t="shared" si="1"/>
        <v>2512979255</v>
      </c>
      <c r="AL19" s="58"/>
    </row>
    <row r="20" spans="23:38" ht="17" thickBot="1" x14ac:dyDescent="0.25">
      <c r="W20" s="58"/>
      <c r="X20" s="70" t="s">
        <v>41</v>
      </c>
      <c r="Y20" s="71">
        <v>0.15</v>
      </c>
      <c r="Z20" s="71">
        <v>0.13</v>
      </c>
      <c r="AA20" s="71">
        <v>0.2</v>
      </c>
      <c r="AB20" s="71">
        <v>0</v>
      </c>
      <c r="AC20" s="71">
        <v>0.03</v>
      </c>
      <c r="AD20" s="71">
        <v>0.14000000000000001</v>
      </c>
      <c r="AE20" s="71">
        <v>0.15</v>
      </c>
      <c r="AF20" s="71">
        <v>0.13</v>
      </c>
      <c r="AG20" s="71">
        <v>0.18</v>
      </c>
      <c r="AH20" s="71">
        <v>0.12</v>
      </c>
      <c r="AI20" s="71">
        <v>0.14000000000000001</v>
      </c>
      <c r="AJ20" s="71">
        <v>0.17</v>
      </c>
      <c r="AK20" s="71">
        <v>0.13</v>
      </c>
      <c r="AL20" s="58"/>
    </row>
    <row r="22" spans="23:38" ht="17" thickBot="1" x14ac:dyDescent="0.25"/>
    <row r="23" spans="23:38" ht="15" customHeight="1" x14ac:dyDescent="0.2">
      <c r="X23" s="23" t="s">
        <v>43</v>
      </c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72"/>
    </row>
    <row r="24" spans="23:38" ht="15" customHeight="1" x14ac:dyDescent="0.2">
      <c r="X24" s="25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72"/>
    </row>
    <row r="25" spans="23:38" ht="20.25" customHeight="1" x14ac:dyDescent="0.2">
      <c r="X25" s="27" t="s">
        <v>24</v>
      </c>
      <c r="Y25" s="18" t="s">
        <v>25</v>
      </c>
      <c r="Z25" s="18" t="s">
        <v>26</v>
      </c>
      <c r="AA25" s="18" t="s">
        <v>27</v>
      </c>
      <c r="AB25" s="18" t="s">
        <v>28</v>
      </c>
      <c r="AC25" s="18" t="s">
        <v>29</v>
      </c>
      <c r="AD25" s="18" t="s">
        <v>30</v>
      </c>
      <c r="AE25" s="18" t="s">
        <v>31</v>
      </c>
      <c r="AF25" s="18" t="s">
        <v>32</v>
      </c>
      <c r="AG25" s="18" t="s">
        <v>33</v>
      </c>
      <c r="AH25" s="18" t="s">
        <v>34</v>
      </c>
      <c r="AI25" s="18" t="s">
        <v>35</v>
      </c>
      <c r="AJ25" s="18" t="s">
        <v>36</v>
      </c>
      <c r="AK25" s="19" t="s">
        <v>20</v>
      </c>
      <c r="AL25" s="72"/>
    </row>
    <row r="26" spans="23:38" ht="20.25" customHeight="1" x14ac:dyDescent="0.2">
      <c r="X26" s="28"/>
      <c r="Y26" s="17" t="s">
        <v>37</v>
      </c>
      <c r="Z26" s="17" t="s">
        <v>37</v>
      </c>
      <c r="AA26" s="17" t="s">
        <v>37</v>
      </c>
      <c r="AB26" s="17" t="s">
        <v>37</v>
      </c>
      <c r="AC26" s="17" t="s">
        <v>37</v>
      </c>
      <c r="AD26" s="17" t="s">
        <v>37</v>
      </c>
      <c r="AE26" s="17" t="s">
        <v>37</v>
      </c>
      <c r="AF26" s="17" t="s">
        <v>37</v>
      </c>
      <c r="AG26" s="17" t="s">
        <v>37</v>
      </c>
      <c r="AH26" s="17" t="s">
        <v>37</v>
      </c>
      <c r="AI26" s="17" t="s">
        <v>37</v>
      </c>
      <c r="AJ26" s="17" t="s">
        <v>37</v>
      </c>
      <c r="AK26" s="17" t="s">
        <v>37</v>
      </c>
      <c r="AL26" s="72"/>
    </row>
    <row r="27" spans="23:38" ht="20.25" customHeight="1" x14ac:dyDescent="0.2">
      <c r="X27" s="73" t="s">
        <v>38</v>
      </c>
      <c r="Y27" s="74">
        <v>1385507695</v>
      </c>
      <c r="Z27" s="74">
        <v>1278895218</v>
      </c>
      <c r="AA27" s="74">
        <v>1553567914</v>
      </c>
      <c r="AB27" s="74">
        <v>1498335904</v>
      </c>
      <c r="AC27" s="74">
        <v>1513880023</v>
      </c>
      <c r="AD27" s="74">
        <v>1485989484</v>
      </c>
      <c r="AE27" s="74">
        <v>1202244634</v>
      </c>
      <c r="AF27" s="74">
        <v>1288769316</v>
      </c>
      <c r="AG27" s="74">
        <v>1473730335</v>
      </c>
      <c r="AH27" s="74">
        <v>1549826183</v>
      </c>
      <c r="AI27" s="74">
        <v>1525332695</v>
      </c>
      <c r="AJ27" s="74">
        <v>1570156148</v>
      </c>
      <c r="AK27" s="63">
        <f t="shared" ref="AK27:AK29" si="2">SUM(Y27:AJ27)</f>
        <v>17326235549</v>
      </c>
      <c r="AL27" s="72"/>
    </row>
    <row r="28" spans="23:38" ht="20.25" customHeight="1" x14ac:dyDescent="0.2">
      <c r="X28" s="73" t="s">
        <v>39</v>
      </c>
      <c r="Y28" s="74">
        <v>1240219258.4195299</v>
      </c>
      <c r="Z28" s="74">
        <v>1197401745.0401101</v>
      </c>
      <c r="AA28" s="74">
        <v>1265483275.2829499</v>
      </c>
      <c r="AB28" s="74">
        <v>1333070616.9105799</v>
      </c>
      <c r="AC28" s="74">
        <v>1313834759.7397101</v>
      </c>
      <c r="AD28" s="74">
        <v>1228318489.5090098</v>
      </c>
      <c r="AE28" s="74">
        <v>1066084813.28306</v>
      </c>
      <c r="AF28" s="74">
        <v>1143888148.5901999</v>
      </c>
      <c r="AG28" s="74">
        <v>1297990406.0931401</v>
      </c>
      <c r="AH28" s="74">
        <v>1329996337.9634202</v>
      </c>
      <c r="AI28" s="74">
        <v>1295071113.35763</v>
      </c>
      <c r="AJ28" s="74">
        <v>1263656140.3652401</v>
      </c>
      <c r="AK28" s="64">
        <f t="shared" si="2"/>
        <v>14975015104.554581</v>
      </c>
      <c r="AL28" s="72"/>
    </row>
    <row r="29" spans="23:38" ht="20.25" customHeight="1" x14ac:dyDescent="0.2">
      <c r="X29" s="73" t="s">
        <v>40</v>
      </c>
      <c r="Y29" s="74">
        <f t="shared" ref="Y29:AJ29" si="3">Y27-Y28</f>
        <v>145288436.58047009</v>
      </c>
      <c r="Z29" s="74">
        <f t="shared" si="3"/>
        <v>81493472.959889889</v>
      </c>
      <c r="AA29" s="74">
        <f t="shared" si="3"/>
        <v>288084638.71705008</v>
      </c>
      <c r="AB29" s="74">
        <f t="shared" si="3"/>
        <v>165265287.08942008</v>
      </c>
      <c r="AC29" s="74">
        <f t="shared" si="3"/>
        <v>200045263.26028991</v>
      </c>
      <c r="AD29" s="74">
        <f t="shared" si="3"/>
        <v>257670994.49099016</v>
      </c>
      <c r="AE29" s="74">
        <f t="shared" si="3"/>
        <v>136159820.71694005</v>
      </c>
      <c r="AF29" s="74">
        <f t="shared" si="3"/>
        <v>144881167.40980005</v>
      </c>
      <c r="AG29" s="74">
        <f t="shared" si="3"/>
        <v>175739928.90685987</v>
      </c>
      <c r="AH29" s="74">
        <f t="shared" si="3"/>
        <v>219829845.03657985</v>
      </c>
      <c r="AI29" s="74">
        <f t="shared" si="3"/>
        <v>230261581.64236999</v>
      </c>
      <c r="AJ29" s="74">
        <f t="shared" si="3"/>
        <v>306500007.6347599</v>
      </c>
      <c r="AK29" s="63">
        <f t="shared" si="2"/>
        <v>2351220444.4454198</v>
      </c>
      <c r="AL29" s="72"/>
    </row>
    <row r="30" spans="23:38" ht="20.25" customHeight="1" thickBot="1" x14ac:dyDescent="0.25">
      <c r="X30" s="75" t="s">
        <v>41</v>
      </c>
      <c r="Y30" s="76">
        <f>Y29/Y27</f>
        <v>0.1048629589750998</v>
      </c>
      <c r="Z30" s="76">
        <f t="shared" ref="Z30:AK30" si="4">Z29/Z27</f>
        <v>6.3721774710623624E-2</v>
      </c>
      <c r="AA30" s="76">
        <f t="shared" si="4"/>
        <v>0.18543420993763526</v>
      </c>
      <c r="AB30" s="76">
        <f t="shared" si="4"/>
        <v>0.11029922372428184</v>
      </c>
      <c r="AC30" s="76">
        <f t="shared" si="4"/>
        <v>0.13214076427527435</v>
      </c>
      <c r="AD30" s="76">
        <f t="shared" si="4"/>
        <v>0.1734002812707591</v>
      </c>
      <c r="AE30" s="76">
        <f t="shared" si="4"/>
        <v>0.11325467119276827</v>
      </c>
      <c r="AF30" s="76">
        <f t="shared" si="4"/>
        <v>0.11241823157263937</v>
      </c>
      <c r="AG30" s="76">
        <f t="shared" si="4"/>
        <v>0.11924836229068995</v>
      </c>
      <c r="AH30" s="76">
        <f t="shared" si="4"/>
        <v>0.14184161259364905</v>
      </c>
      <c r="AI30" s="76">
        <f t="shared" si="4"/>
        <v>0.15095826792224498</v>
      </c>
      <c r="AJ30" s="76">
        <f t="shared" si="4"/>
        <v>0.19520352037927372</v>
      </c>
      <c r="AK30" s="76">
        <f t="shared" si="4"/>
        <v>0.13570290198329449</v>
      </c>
      <c r="AL30" s="72"/>
    </row>
    <row r="31" spans="23:38" x14ac:dyDescent="0.2">
      <c r="AL31" s="72"/>
    </row>
    <row r="32" spans="23:38" ht="17" thickBot="1" x14ac:dyDescent="0.25">
      <c r="AL32" s="72"/>
    </row>
    <row r="33" spans="24:38" ht="15" customHeight="1" x14ac:dyDescent="0.2">
      <c r="X33" s="23" t="s">
        <v>44</v>
      </c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72"/>
    </row>
    <row r="34" spans="24:38" ht="15" customHeight="1" x14ac:dyDescent="0.2">
      <c r="X34" s="25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72"/>
    </row>
    <row r="35" spans="24:38" ht="20.25" customHeight="1" x14ac:dyDescent="0.2">
      <c r="X35" s="27" t="s">
        <v>24</v>
      </c>
      <c r="Y35" s="18" t="s">
        <v>25</v>
      </c>
      <c r="Z35" s="18" t="s">
        <v>26</v>
      </c>
      <c r="AA35" s="18" t="s">
        <v>27</v>
      </c>
      <c r="AB35" s="18" t="s">
        <v>28</v>
      </c>
      <c r="AC35" s="18" t="s">
        <v>29</v>
      </c>
      <c r="AD35" s="18" t="s">
        <v>30</v>
      </c>
      <c r="AE35" s="18" t="s">
        <v>31</v>
      </c>
      <c r="AF35" s="18" t="s">
        <v>32</v>
      </c>
      <c r="AG35" s="18" t="s">
        <v>33</v>
      </c>
      <c r="AH35" s="18" t="s">
        <v>34</v>
      </c>
      <c r="AI35" s="18" t="s">
        <v>35</v>
      </c>
      <c r="AJ35" s="18" t="s">
        <v>36</v>
      </c>
      <c r="AK35" s="19" t="s">
        <v>20</v>
      </c>
      <c r="AL35" s="72"/>
    </row>
    <row r="36" spans="24:38" ht="20.25" customHeight="1" x14ac:dyDescent="0.2">
      <c r="X36" s="28"/>
      <c r="Y36" s="17" t="s">
        <v>37</v>
      </c>
      <c r="Z36" s="17" t="s">
        <v>37</v>
      </c>
      <c r="AA36" s="17" t="s">
        <v>37</v>
      </c>
      <c r="AB36" s="17" t="s">
        <v>37</v>
      </c>
      <c r="AC36" s="17" t="s">
        <v>37</v>
      </c>
      <c r="AD36" s="17" t="s">
        <v>37</v>
      </c>
      <c r="AE36" s="17" t="s">
        <v>37</v>
      </c>
      <c r="AF36" s="17" t="s">
        <v>37</v>
      </c>
      <c r="AG36" s="17" t="s">
        <v>37</v>
      </c>
      <c r="AH36" s="17" t="s">
        <v>37</v>
      </c>
      <c r="AI36" s="17" t="s">
        <v>37</v>
      </c>
      <c r="AJ36" s="17" t="s">
        <v>37</v>
      </c>
      <c r="AK36" s="17" t="s">
        <v>37</v>
      </c>
      <c r="AL36" s="72"/>
    </row>
    <row r="37" spans="24:38" ht="20.25" customHeight="1" x14ac:dyDescent="0.2">
      <c r="X37" s="73" t="s">
        <v>38</v>
      </c>
      <c r="Y37" s="74">
        <v>1527852327</v>
      </c>
      <c r="Z37" s="74">
        <v>1226812465</v>
      </c>
      <c r="AA37" s="74">
        <v>1466469354</v>
      </c>
      <c r="AB37" s="74">
        <v>1446350581</v>
      </c>
      <c r="AC37" s="74">
        <v>1485219611</v>
      </c>
      <c r="AD37" s="74">
        <v>1612400274</v>
      </c>
      <c r="AE37" s="74">
        <v>1665229226</v>
      </c>
      <c r="AF37" s="74">
        <v>1734078744</v>
      </c>
      <c r="AG37" s="74"/>
      <c r="AH37" s="74"/>
      <c r="AI37" s="74"/>
      <c r="AJ37" s="74"/>
      <c r="AK37" s="63">
        <f t="shared" ref="AK37:AK39" si="5">SUM(Y37:AJ37)</f>
        <v>12164412582</v>
      </c>
      <c r="AL37" s="72"/>
    </row>
    <row r="38" spans="24:38" ht="20.25" customHeight="1" x14ac:dyDescent="0.2">
      <c r="X38" s="73" t="s">
        <v>39</v>
      </c>
      <c r="Y38" s="74">
        <v>1236166307.58197</v>
      </c>
      <c r="Z38" s="74">
        <v>1030169987.7952399</v>
      </c>
      <c r="AA38" s="74">
        <v>1155845619.4536901</v>
      </c>
      <c r="AB38" s="74">
        <v>1207562673.16517</v>
      </c>
      <c r="AC38" s="74">
        <v>1249363782.98457</v>
      </c>
      <c r="AD38" s="74">
        <v>1285715886.2481</v>
      </c>
      <c r="AE38" s="74">
        <v>1357633776.09799</v>
      </c>
      <c r="AF38" s="74">
        <v>1325818183.7151198</v>
      </c>
      <c r="AG38" s="74">
        <v>1325818183.7151198</v>
      </c>
      <c r="AH38" s="74">
        <v>1325818183.7151198</v>
      </c>
      <c r="AI38" s="74">
        <v>1325818183.7151198</v>
      </c>
      <c r="AJ38" s="74">
        <v>1325818183.7151198</v>
      </c>
      <c r="AK38" s="64">
        <f t="shared" si="5"/>
        <v>15151548951.902332</v>
      </c>
      <c r="AL38" s="72"/>
    </row>
    <row r="39" spans="24:38" ht="20.25" customHeight="1" x14ac:dyDescent="0.2">
      <c r="X39" s="73" t="s">
        <v>40</v>
      </c>
      <c r="Y39" s="74">
        <f t="shared" ref="Y39:AC39" si="6">Y37-Y38</f>
        <v>291686019.41803002</v>
      </c>
      <c r="Z39" s="74">
        <f t="shared" si="6"/>
        <v>196642477.20476007</v>
      </c>
      <c r="AA39" s="74">
        <f t="shared" si="6"/>
        <v>310623734.54630995</v>
      </c>
      <c r="AB39" s="74">
        <f t="shared" si="6"/>
        <v>238787907.83483005</v>
      </c>
      <c r="AC39" s="74">
        <f t="shared" si="6"/>
        <v>235855828.01542997</v>
      </c>
      <c r="AD39" s="77">
        <f>AD37-AD38</f>
        <v>326684387.75189996</v>
      </c>
      <c r="AE39" s="77">
        <f>AE37-AE38</f>
        <v>307595449.90200996</v>
      </c>
      <c r="AF39" s="77">
        <f>AF37-AF38</f>
        <v>408260560.28488016</v>
      </c>
      <c r="AG39" s="74"/>
      <c r="AH39" s="74"/>
      <c r="AI39" s="74"/>
      <c r="AJ39" s="74"/>
      <c r="AK39" s="63">
        <f t="shared" si="5"/>
        <v>2316136364.9581499</v>
      </c>
      <c r="AL39" s="72"/>
    </row>
    <row r="40" spans="24:38" ht="20.25" customHeight="1" thickBot="1" x14ac:dyDescent="0.25">
      <c r="X40" s="75" t="s">
        <v>41</v>
      </c>
      <c r="Y40" s="76">
        <f>Y39/Y37</f>
        <v>0.19091244242875707</v>
      </c>
      <c r="Z40" s="76">
        <f t="shared" ref="Z40:AF40" si="7">Z39/Z37</f>
        <v>0.16028731596296591</v>
      </c>
      <c r="AA40" s="76">
        <f t="shared" si="7"/>
        <v>0.21181740600241003</v>
      </c>
      <c r="AB40" s="76">
        <f t="shared" si="7"/>
        <v>0.16509683818824425</v>
      </c>
      <c r="AC40" s="76">
        <f t="shared" si="7"/>
        <v>0.15880198878913804</v>
      </c>
      <c r="AD40" s="76">
        <f t="shared" si="7"/>
        <v>0.20260749952706841</v>
      </c>
      <c r="AE40" s="76">
        <f t="shared" si="7"/>
        <v>0.18471658141676764</v>
      </c>
      <c r="AF40" s="76">
        <f t="shared" si="7"/>
        <v>0.23543369163452485</v>
      </c>
      <c r="AG40" s="76"/>
      <c r="AH40" s="76"/>
      <c r="AI40" s="76"/>
      <c r="AJ40" s="76"/>
      <c r="AK40" s="76">
        <f>AK39/AK37</f>
        <v>0.19040264783401029</v>
      </c>
      <c r="AL40" s="72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dimension ref="B2:Q15"/>
  <sheetViews>
    <sheetView showGridLines="0" workbookViewId="0">
      <selection activeCell="F26" sqref="F26"/>
    </sheetView>
  </sheetViews>
  <sheetFormatPr baseColWidth="10" defaultRowHeight="16" x14ac:dyDescent="0.2"/>
  <cols>
    <col min="1" max="1" width="10.83203125" style="1"/>
    <col min="2" max="2" width="10.83203125" style="43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55"/>
      <c r="F2" s="56"/>
      <c r="G2" s="56"/>
      <c r="H2" s="56"/>
      <c r="I2" s="56"/>
      <c r="J2" s="56"/>
      <c r="K2" s="96"/>
      <c r="L2" s="56"/>
      <c r="M2" s="56"/>
      <c r="N2" s="56"/>
      <c r="O2" s="56"/>
      <c r="P2" s="56"/>
    </row>
    <row r="3" spans="2:17" s="57" customFormat="1" ht="20" customHeight="1" x14ac:dyDescent="0.2">
      <c r="B3" s="6" t="s">
        <v>47</v>
      </c>
      <c r="C3" s="57" t="s">
        <v>58</v>
      </c>
      <c r="D3" s="57" t="s">
        <v>59</v>
      </c>
      <c r="E3" s="57" t="s">
        <v>60</v>
      </c>
      <c r="F3" s="57" t="s">
        <v>46</v>
      </c>
      <c r="G3" s="57" t="s">
        <v>9</v>
      </c>
      <c r="H3" s="57" t="s">
        <v>10</v>
      </c>
      <c r="I3" s="57" t="s">
        <v>11</v>
      </c>
      <c r="J3" s="57" t="s">
        <v>12</v>
      </c>
      <c r="K3" s="80" t="s">
        <v>13</v>
      </c>
      <c r="L3" s="81" t="s">
        <v>14</v>
      </c>
      <c r="M3" s="81" t="s">
        <v>15</v>
      </c>
      <c r="N3" s="81" t="s">
        <v>16</v>
      </c>
      <c r="O3" s="81" t="s">
        <v>17</v>
      </c>
      <c r="P3" s="81" t="s">
        <v>18</v>
      </c>
    </row>
    <row r="4" spans="2:17" ht="20" customHeight="1" x14ac:dyDescent="0.2">
      <c r="B4" s="43" t="s">
        <v>45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82"/>
      <c r="L4" s="83"/>
      <c r="M4" s="83"/>
      <c r="N4" s="83"/>
      <c r="O4" s="83"/>
      <c r="P4" s="83"/>
    </row>
    <row r="5" spans="2:17" ht="20" customHeight="1" x14ac:dyDescent="0.2">
      <c r="B5" s="43" t="s">
        <v>48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82"/>
      <c r="L5" s="83"/>
      <c r="M5" s="83"/>
      <c r="N5" s="83"/>
      <c r="O5" s="83"/>
      <c r="P5" s="83"/>
    </row>
    <row r="6" spans="2:17" ht="20" customHeight="1" x14ac:dyDescent="0.2">
      <c r="B6" s="43" t="s">
        <v>49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82"/>
      <c r="L6" s="83"/>
      <c r="M6" s="83"/>
      <c r="N6" s="83"/>
      <c r="O6" s="83"/>
      <c r="P6" s="83"/>
    </row>
    <row r="7" spans="2:17" ht="20" customHeight="1" x14ac:dyDescent="0.2">
      <c r="B7" s="43" t="s">
        <v>50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82"/>
      <c r="L7" s="83"/>
      <c r="M7" s="83"/>
      <c r="N7" s="83"/>
      <c r="O7" s="83"/>
      <c r="P7" s="83"/>
    </row>
    <row r="8" spans="2:17" ht="20" customHeight="1" x14ac:dyDescent="0.2">
      <c r="B8" s="43" t="s">
        <v>51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82"/>
      <c r="L8" s="83"/>
      <c r="M8" s="83"/>
      <c r="N8" s="83"/>
      <c r="O8" s="83"/>
      <c r="P8" s="83"/>
    </row>
    <row r="9" spans="2:17" ht="20" customHeight="1" thickBot="1" x14ac:dyDescent="0.25">
      <c r="F9" s="8"/>
      <c r="G9" s="8"/>
      <c r="H9" s="8"/>
      <c r="I9" s="8"/>
      <c r="J9" s="8"/>
      <c r="K9" s="82"/>
      <c r="L9" s="83"/>
      <c r="M9" s="83"/>
      <c r="N9" s="83"/>
      <c r="O9" s="83"/>
      <c r="P9" s="83"/>
    </row>
    <row r="10" spans="2:17" ht="20" customHeight="1" thickBot="1" x14ac:dyDescent="0.25">
      <c r="B10" s="43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91">
        <f>Table3[[#Totals],[2026]]+K12</f>
        <v>20493183023.468571</v>
      </c>
      <c r="L10" s="92">
        <f>Table3[[#Totals],[2027]]+L12</f>
        <v>21093183023.468571</v>
      </c>
      <c r="M10" s="92">
        <f>Table3[[#Totals],[2028]]+M12</f>
        <v>21693183023.468571</v>
      </c>
      <c r="N10" s="92">
        <f>Table3[[#Totals],[2029]]+N12</f>
        <v>22293183023.468571</v>
      </c>
      <c r="O10" s="92">
        <f>Table3[[#Totals],[2030]]+O12</f>
        <v>22893183023.468571</v>
      </c>
      <c r="P10" s="92">
        <f>Table3[[#Totals],[2031]]+P12</f>
        <v>23493183023.468571</v>
      </c>
      <c r="Q10" s="95"/>
    </row>
    <row r="11" spans="2:17" ht="20" customHeight="1" x14ac:dyDescent="0.2">
      <c r="K11" s="84"/>
      <c r="L11" s="85"/>
      <c r="M11" s="85"/>
      <c r="N11" s="85"/>
      <c r="O11" s="85"/>
      <c r="P11" s="85"/>
    </row>
    <row r="12" spans="2:17" ht="20" customHeight="1" x14ac:dyDescent="0.2">
      <c r="B12" s="43" t="s">
        <v>76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91">
        <v>600000000</v>
      </c>
      <c r="L12" s="92">
        <v>600000000</v>
      </c>
      <c r="M12" s="92">
        <v>600000000</v>
      </c>
      <c r="N12" s="92">
        <v>600000000</v>
      </c>
      <c r="O12" s="92">
        <v>600000000</v>
      </c>
      <c r="P12" s="92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93" t="s">
        <v>72</v>
      </c>
      <c r="K15" s="94" t="s">
        <v>73</v>
      </c>
    </row>
  </sheetData>
  <phoneticPr fontId="1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dimension ref="B2:Q14"/>
  <sheetViews>
    <sheetView showGridLines="0" workbookViewId="0">
      <selection activeCell="H27" sqref="H27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6.6640625" style="1" customWidth="1"/>
    <col min="17" max="16384" width="10.83203125" style="1"/>
  </cols>
  <sheetData>
    <row r="2" spans="2:17" x14ac:dyDescent="0.2">
      <c r="E2" s="55" t="s">
        <v>56</v>
      </c>
      <c r="F2" s="56">
        <f>Summary!$C$3</f>
        <v>0.81528309395361787</v>
      </c>
      <c r="G2" s="56">
        <f>Summary!$D$3</f>
        <v>0.83876664785752686</v>
      </c>
      <c r="H2" s="78">
        <f>Summary!$E$3</f>
        <v>0.88310463162608033</v>
      </c>
      <c r="I2" s="79">
        <f>Summary!$F$3</f>
        <v>0.88127529424826756</v>
      </c>
      <c r="J2" s="79">
        <f>Summary!$G$3</f>
        <v>0.87793438572257054</v>
      </c>
      <c r="K2" s="79">
        <f>Summary!$H$3</f>
        <v>0.85651455446251945</v>
      </c>
      <c r="L2" s="79">
        <f>Summary!$I$3</f>
        <v>0.82931228336920126</v>
      </c>
      <c r="M2" s="79">
        <f>Summary!$J$3</f>
        <v>0.82930405108345184</v>
      </c>
      <c r="N2" s="79">
        <f>Summary!$K$3</f>
        <v>0.82930405108345184</v>
      </c>
      <c r="O2" s="79">
        <f>Summary!$L$3</f>
        <v>0.82930405108345184</v>
      </c>
      <c r="P2" s="79">
        <f>Summary!$M$3</f>
        <v>0.82930405108345184</v>
      </c>
    </row>
    <row r="3" spans="2:17" s="57" customFormat="1" ht="20" customHeight="1" x14ac:dyDescent="0.2">
      <c r="B3" s="57" t="s">
        <v>47</v>
      </c>
      <c r="C3" s="57" t="s">
        <v>58</v>
      </c>
      <c r="D3" s="57" t="s">
        <v>59</v>
      </c>
      <c r="E3" s="57" t="s">
        <v>60</v>
      </c>
      <c r="F3" s="57" t="s">
        <v>46</v>
      </c>
      <c r="G3" s="57" t="s">
        <v>9</v>
      </c>
      <c r="H3" s="80" t="s">
        <v>10</v>
      </c>
      <c r="I3" s="81" t="s">
        <v>11</v>
      </c>
      <c r="J3" s="81" t="s">
        <v>12</v>
      </c>
      <c r="K3" s="81" t="s">
        <v>13</v>
      </c>
      <c r="L3" s="81" t="s">
        <v>14</v>
      </c>
      <c r="M3" s="81" t="s">
        <v>15</v>
      </c>
      <c r="N3" s="81" t="s">
        <v>16</v>
      </c>
      <c r="O3" s="81" t="s">
        <v>17</v>
      </c>
      <c r="P3" s="81" t="s">
        <v>18</v>
      </c>
    </row>
    <row r="4" spans="2:17" ht="20" customHeight="1" x14ac:dyDescent="0.2">
      <c r="B4" s="1" t="s">
        <v>52</v>
      </c>
      <c r="F4" s="8">
        <v>2064905500</v>
      </c>
      <c r="G4" s="8">
        <v>2740380825</v>
      </c>
      <c r="H4" s="84"/>
      <c r="I4" s="85"/>
      <c r="J4" s="85"/>
      <c r="K4" s="85"/>
      <c r="L4" s="85"/>
      <c r="M4" s="85"/>
      <c r="N4" s="85"/>
      <c r="O4" s="85"/>
      <c r="P4" s="85"/>
    </row>
    <row r="5" spans="2:17" ht="20" customHeight="1" x14ac:dyDescent="0.2">
      <c r="B5" s="1" t="s">
        <v>53</v>
      </c>
      <c r="F5" s="8">
        <v>1175022500</v>
      </c>
      <c r="G5" s="8">
        <v>1323836100</v>
      </c>
      <c r="H5" s="84"/>
      <c r="I5" s="85"/>
      <c r="J5" s="85"/>
      <c r="K5" s="85"/>
      <c r="L5" s="85"/>
      <c r="M5" s="85"/>
      <c r="N5" s="85"/>
      <c r="O5" s="85"/>
      <c r="P5" s="85"/>
    </row>
    <row r="6" spans="2:17" ht="20" customHeight="1" x14ac:dyDescent="0.2">
      <c r="B6" s="1" t="s">
        <v>54</v>
      </c>
      <c r="F6" s="8">
        <v>2299050000</v>
      </c>
      <c r="G6" s="8">
        <v>2416950000</v>
      </c>
      <c r="H6" s="84"/>
      <c r="I6" s="85"/>
      <c r="J6" s="85"/>
      <c r="K6" s="85"/>
      <c r="L6" s="85"/>
      <c r="M6" s="85"/>
      <c r="N6" s="85"/>
      <c r="O6" s="85"/>
      <c r="P6" s="85"/>
    </row>
    <row r="7" spans="2:17" ht="20" customHeight="1" thickBot="1" x14ac:dyDescent="0.25">
      <c r="B7" s="1" t="s">
        <v>55</v>
      </c>
      <c r="F7" s="8">
        <v>635040000</v>
      </c>
      <c r="G7" s="8">
        <v>647640000</v>
      </c>
      <c r="H7" s="84"/>
      <c r="I7" s="85"/>
      <c r="J7" s="85"/>
      <c r="K7" s="85"/>
      <c r="L7" s="85"/>
      <c r="M7" s="85"/>
      <c r="N7" s="85"/>
      <c r="O7" s="85"/>
      <c r="P7" s="85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97">
        <f>Table4[[#Totals],[2023]]+(H2-G2)*100*$I$11</f>
        <v>8930228876.4487076</v>
      </c>
      <c r="I8" s="98">
        <f>Table4[[#Totals],[2024]]+(I2-H2)*100*$I$11</f>
        <v>8855904150.1327858</v>
      </c>
      <c r="J8" s="98">
        <f>Table4[[#Totals],[2025]]+(J2-I2)*100*$I$11</f>
        <v>8720165322.0573139</v>
      </c>
      <c r="K8" s="98">
        <f>Table4[[#Totals],[2026]]+(K2-J2)*100*$I$11</f>
        <v>7849892230.0375023</v>
      </c>
      <c r="L8" s="98">
        <f>Table4[[#Totals],[2027]]+(L2-K2)*100*$I$11</f>
        <v>6744682563.0269556</v>
      </c>
      <c r="M8" s="98">
        <f>Table4[[#Totals],[2028]]+(M2-L2)*100*$I$11</f>
        <v>6744348090.8881903</v>
      </c>
      <c r="N8" s="98">
        <f>Table4[[#Totals],[2029]]+(N2-M2)*100*$I$11</f>
        <v>6744348090.8881903</v>
      </c>
      <c r="O8" s="98">
        <f>Table4[[#Totals],[2030]]+(O2-N2)*100*$I$11</f>
        <v>6744348090.8881903</v>
      </c>
      <c r="P8" s="98">
        <f>Table4[[#Totals],[2031]]+(P2-O2)*100*$I$11</f>
        <v>6744348090.8881903</v>
      </c>
      <c r="Q8" s="95"/>
    </row>
    <row r="9" spans="2:17" ht="20" customHeight="1" x14ac:dyDescent="0.2">
      <c r="C9" s="8"/>
      <c r="D9" s="8"/>
      <c r="H9" s="84"/>
      <c r="I9" s="85"/>
      <c r="J9" s="85"/>
      <c r="K9" s="85"/>
      <c r="L9" s="85"/>
      <c r="M9" s="85"/>
      <c r="N9" s="85"/>
      <c r="O9" s="85"/>
      <c r="P9" s="85"/>
    </row>
    <row r="10" spans="2:17" ht="20" customHeight="1" x14ac:dyDescent="0.2">
      <c r="C10" s="8"/>
      <c r="D10" s="8"/>
      <c r="H10" s="89" t="s">
        <v>70</v>
      </c>
      <c r="I10" s="90" t="s">
        <v>71</v>
      </c>
      <c r="J10" s="85"/>
      <c r="K10" s="85"/>
      <c r="L10" s="85"/>
      <c r="M10" s="85"/>
      <c r="N10" s="85"/>
      <c r="O10" s="85"/>
      <c r="P10" s="85"/>
    </row>
    <row r="11" spans="2:17" ht="20" customHeight="1" x14ac:dyDescent="0.2">
      <c r="C11" s="8"/>
      <c r="D11" s="8"/>
      <c r="H11" s="91">
        <f>Table4[[#Totals],[2023]]-Table4[[#Totals],[2022]]</f>
        <v>954788925</v>
      </c>
      <c r="I11" s="92">
        <f>H11/(H10*100)</f>
        <v>406293159.57446808</v>
      </c>
      <c r="J11" s="85"/>
      <c r="K11" s="85"/>
      <c r="L11" s="85"/>
      <c r="M11" s="85"/>
      <c r="N11" s="85"/>
      <c r="O11" s="85"/>
      <c r="P11" s="85"/>
    </row>
    <row r="12" spans="2:17" ht="20" customHeight="1" x14ac:dyDescent="0.2">
      <c r="C12" s="8"/>
      <c r="D12" s="8"/>
      <c r="H12" s="84"/>
      <c r="I12" s="85"/>
      <c r="J12" s="85"/>
      <c r="K12" s="85"/>
      <c r="L12" s="85"/>
      <c r="M12" s="85"/>
      <c r="N12" s="85"/>
      <c r="O12" s="85"/>
      <c r="P12" s="85"/>
    </row>
    <row r="13" spans="2:17" ht="20" customHeight="1" x14ac:dyDescent="0.2">
      <c r="C13" s="8"/>
      <c r="D13" s="8"/>
    </row>
    <row r="14" spans="2:17" ht="20" customHeight="1" x14ac:dyDescent="0.2">
      <c r="G14" s="93" t="s">
        <v>80</v>
      </c>
      <c r="H14" s="94" t="s">
        <v>73</v>
      </c>
    </row>
  </sheetData>
  <phoneticPr fontId="1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TE Office</vt:lpstr>
      <vt:lpstr>Ampera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2022-09-06T10:21:49Z</dcterms:created>
  <dcterms:modified xsi:type="dcterms:W3CDTF">2022-09-28T11:01:16Z</dcterms:modified>
</cp:coreProperties>
</file>