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b03e8e420626a2/Office/AMG/Development/office/revenue-streamlit/"/>
    </mc:Choice>
  </mc:AlternateContent>
  <xr:revisionPtr revIDLastSave="55" documentId="13_ncr:1_{BAA92C2C-EB2D-7847-8EC0-F6534D169652}" xr6:coauthVersionLast="47" xr6:coauthVersionMax="47" xr10:uidLastSave="{48A9DEE6-5855-204B-9DC0-30924E61E8A0}"/>
  <bookViews>
    <workbookView xWindow="0" yWindow="880" windowWidth="36000" windowHeight="21500" activeTab="1" xr2:uid="{9DA9C85C-0230-484A-A9A5-3ABA148F8E1D}"/>
  </bookViews>
  <sheets>
    <sheet name="Summary" sheetId="1" r:id="rId1"/>
    <sheet name="TE Office" sheetId="7" r:id="rId2"/>
    <sheet name="TE Office Old" sheetId="11" r:id="rId3"/>
    <sheet name="IN OUT" sheetId="8" r:id="rId4"/>
    <sheet name="Ampera" sheetId="6" r:id="rId5"/>
    <sheet name="SH" sheetId="10" r:id="rId6"/>
    <sheet name="Dago" sheetId="9" r:id="rId7"/>
    <sheet name="Listrik" sheetId="2" r:id="rId8"/>
    <sheet name="IT" sheetId="3" r:id="rId9"/>
    <sheet name="Parkir" sheetId="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5" i="11" l="1"/>
  <c r="D19" i="1" l="1"/>
  <c r="E19" i="1"/>
  <c r="F19" i="1"/>
  <c r="G19" i="1"/>
  <c r="H19" i="1"/>
  <c r="I19" i="1"/>
  <c r="J19" i="1"/>
  <c r="K19" i="1"/>
  <c r="L19" i="1"/>
  <c r="M19" i="1"/>
  <c r="C19" i="1"/>
  <c r="G4" i="2"/>
  <c r="D36" i="11" l="1"/>
  <c r="E36" i="11"/>
  <c r="F36" i="11"/>
  <c r="G36" i="11"/>
  <c r="H36" i="11"/>
  <c r="I36" i="11"/>
  <c r="J36" i="11"/>
  <c r="K36" i="11"/>
  <c r="L36" i="11"/>
  <c r="M36" i="11"/>
  <c r="D37" i="11"/>
  <c r="E37" i="11"/>
  <c r="F37" i="11"/>
  <c r="G37" i="11"/>
  <c r="H37" i="11"/>
  <c r="I37" i="11"/>
  <c r="J37" i="11"/>
  <c r="K37" i="11"/>
  <c r="L37" i="11"/>
  <c r="M37" i="11"/>
  <c r="D38" i="11"/>
  <c r="E38" i="11"/>
  <c r="F38" i="11"/>
  <c r="G38" i="11"/>
  <c r="H38" i="11"/>
  <c r="I38" i="11"/>
  <c r="J38" i="11"/>
  <c r="K38" i="11"/>
  <c r="L38" i="11"/>
  <c r="M38" i="11"/>
  <c r="D39" i="11"/>
  <c r="E39" i="11"/>
  <c r="F39" i="11"/>
  <c r="G39" i="11"/>
  <c r="H39" i="11"/>
  <c r="I39" i="11"/>
  <c r="J39" i="11"/>
  <c r="K39" i="11"/>
  <c r="L39" i="11"/>
  <c r="M39" i="11"/>
  <c r="D40" i="11"/>
  <c r="E40" i="11"/>
  <c r="F40" i="11"/>
  <c r="G40" i="11"/>
  <c r="H40" i="11"/>
  <c r="I40" i="11"/>
  <c r="J40" i="11"/>
  <c r="K40" i="11"/>
  <c r="L40" i="11"/>
  <c r="M40" i="11"/>
  <c r="D41" i="11"/>
  <c r="E41" i="11"/>
  <c r="F41" i="11"/>
  <c r="G41" i="11"/>
  <c r="H41" i="11"/>
  <c r="I41" i="11"/>
  <c r="J41" i="11"/>
  <c r="K41" i="11"/>
  <c r="L41" i="11"/>
  <c r="M41" i="11"/>
  <c r="C37" i="11"/>
  <c r="C38" i="11"/>
  <c r="C39" i="11"/>
  <c r="C40" i="11"/>
  <c r="C41" i="11"/>
  <c r="C36" i="11"/>
  <c r="D4" i="6"/>
  <c r="E4" i="6"/>
  <c r="C4" i="6"/>
  <c r="C9" i="6"/>
  <c r="C16" i="6"/>
  <c r="C12" i="6"/>
  <c r="K10" i="3" l="1"/>
  <c r="H9" i="10" l="1"/>
  <c r="I9" i="10" s="1"/>
  <c r="F9" i="10"/>
  <c r="C33" i="1" s="1"/>
  <c r="H4" i="10"/>
  <c r="I4" i="10" s="1"/>
  <c r="J4" i="10" s="1"/>
  <c r="F4" i="10"/>
  <c r="D33" i="1"/>
  <c r="E33" i="1"/>
  <c r="D18" i="1"/>
  <c r="C18" i="1"/>
  <c r="C37" i="1"/>
  <c r="C22" i="1"/>
  <c r="D4" i="9"/>
  <c r="E4" i="9" s="1"/>
  <c r="D4" i="1"/>
  <c r="E4" i="1"/>
  <c r="F4" i="1"/>
  <c r="G4" i="1"/>
  <c r="H4" i="1"/>
  <c r="I4" i="1"/>
  <c r="J4" i="1"/>
  <c r="K4" i="1"/>
  <c r="L4" i="1"/>
  <c r="M4" i="1"/>
  <c r="C4" i="1"/>
  <c r="E18" i="1" l="1"/>
  <c r="J9" i="10"/>
  <c r="G33" i="1" s="1"/>
  <c r="F33" i="1"/>
  <c r="K4" i="10"/>
  <c r="G18" i="1"/>
  <c r="F18" i="1"/>
  <c r="K9" i="10" l="1"/>
  <c r="H33" i="1"/>
  <c r="L9" i="10"/>
  <c r="H18" i="1"/>
  <c r="L4" i="10"/>
  <c r="I33" i="1" l="1"/>
  <c r="M9" i="10"/>
  <c r="I18" i="1"/>
  <c r="M4" i="10"/>
  <c r="D28" i="1"/>
  <c r="E28" i="1"/>
  <c r="F28" i="1"/>
  <c r="G28" i="1"/>
  <c r="H28" i="1"/>
  <c r="I28" i="1"/>
  <c r="J28" i="1"/>
  <c r="K28" i="1"/>
  <c r="L28" i="1"/>
  <c r="M28" i="1"/>
  <c r="C28" i="1"/>
  <c r="D32" i="1"/>
  <c r="C32" i="1"/>
  <c r="H31" i="1"/>
  <c r="G31" i="1"/>
  <c r="F31" i="1"/>
  <c r="E31" i="1"/>
  <c r="D31" i="1"/>
  <c r="C31" i="1"/>
  <c r="D30" i="1" a="1"/>
  <c r="D30" i="1" s="1"/>
  <c r="C30" i="1" a="1"/>
  <c r="C30" i="1" s="1"/>
  <c r="N9" i="10" l="1"/>
  <c r="J33" i="1"/>
  <c r="J18" i="1"/>
  <c r="N4" i="10"/>
  <c r="H11" i="4"/>
  <c r="I11" i="4" s="1"/>
  <c r="L10" i="3"/>
  <c r="H12" i="3"/>
  <c r="I12" i="3"/>
  <c r="J12" i="3"/>
  <c r="G12" i="3"/>
  <c r="G9" i="2" a="1"/>
  <c r="G9" i="2" s="1"/>
  <c r="H9" i="2" s="1"/>
  <c r="D13" i="1"/>
  <c r="E13" i="1"/>
  <c r="F13" i="1"/>
  <c r="G13" i="1"/>
  <c r="H13" i="1"/>
  <c r="I13" i="1"/>
  <c r="J13" i="1"/>
  <c r="K13" i="1"/>
  <c r="L13" i="1"/>
  <c r="M13" i="1"/>
  <c r="C13" i="1"/>
  <c r="D3" i="1"/>
  <c r="E3" i="1"/>
  <c r="F3" i="1"/>
  <c r="G3" i="1"/>
  <c r="H3" i="1"/>
  <c r="I3" i="1"/>
  <c r="J3" i="1"/>
  <c r="K3" i="1"/>
  <c r="L3" i="1"/>
  <c r="M3" i="1"/>
  <c r="C3" i="1"/>
  <c r="M10" i="3" l="1"/>
  <c r="I31" i="1"/>
  <c r="K33" i="1"/>
  <c r="O9" i="10"/>
  <c r="O4" i="10"/>
  <c r="K18" i="1"/>
  <c r="D17" i="1"/>
  <c r="C17" i="1"/>
  <c r="D15" i="1" a="1"/>
  <c r="D15" i="1" s="1"/>
  <c r="C15" i="1" a="1"/>
  <c r="C15" i="1" s="1"/>
  <c r="D16" i="1"/>
  <c r="E16" i="1"/>
  <c r="F16" i="1"/>
  <c r="G16" i="1"/>
  <c r="H16" i="1"/>
  <c r="I16" i="1"/>
  <c r="J16" i="1"/>
  <c r="C16" i="1"/>
  <c r="F10" i="3"/>
  <c r="C13" i="6"/>
  <c r="F4" i="6" s="1"/>
  <c r="C17" i="6"/>
  <c r="I4" i="6" s="1"/>
  <c r="F2" i="2"/>
  <c r="F2" i="4"/>
  <c r="AK7" i="2"/>
  <c r="AK8" i="2"/>
  <c r="AK9" i="2"/>
  <c r="P2" i="2"/>
  <c r="O2" i="2"/>
  <c r="N2" i="2"/>
  <c r="M2" i="2"/>
  <c r="L2" i="2"/>
  <c r="K2" i="2"/>
  <c r="J2" i="2"/>
  <c r="I2" i="2"/>
  <c r="H2" i="2"/>
  <c r="G2" i="2"/>
  <c r="P2" i="4"/>
  <c r="O2" i="4"/>
  <c r="N2" i="4"/>
  <c r="M2" i="4"/>
  <c r="L2" i="4"/>
  <c r="K2" i="4"/>
  <c r="J2" i="4"/>
  <c r="I2" i="4"/>
  <c r="H2" i="4"/>
  <c r="G2" i="4"/>
  <c r="F8" i="4"/>
  <c r="G8" i="4"/>
  <c r="G10" i="3"/>
  <c r="H10" i="3"/>
  <c r="I10" i="3"/>
  <c r="J10" i="3"/>
  <c r="N10" i="3" l="1"/>
  <c r="J31" i="1"/>
  <c r="L33" i="1"/>
  <c r="P9" i="10"/>
  <c r="M33" i="1" s="1"/>
  <c r="P4" i="10"/>
  <c r="M18" i="1" s="1"/>
  <c r="L18" i="1"/>
  <c r="I35" i="1"/>
  <c r="I20" i="1"/>
  <c r="F35" i="1"/>
  <c r="F20" i="1"/>
  <c r="J4" i="6"/>
  <c r="N4" i="6"/>
  <c r="M4" i="6"/>
  <c r="L4" i="6"/>
  <c r="K4" i="6"/>
  <c r="H8" i="4"/>
  <c r="H4" i="2"/>
  <c r="P4" i="6"/>
  <c r="G4" i="6"/>
  <c r="O4" i="6"/>
  <c r="H4" i="6"/>
  <c r="AK38" i="2"/>
  <c r="AK37" i="2"/>
  <c r="AK28" i="2"/>
  <c r="AK27" i="2"/>
  <c r="AF39" i="2"/>
  <c r="AF40" i="2" s="1"/>
  <c r="AE39" i="2"/>
  <c r="AE40" i="2" s="1"/>
  <c r="AD39" i="2"/>
  <c r="AD40" i="2" s="1"/>
  <c r="AC39" i="2"/>
  <c r="AC40" i="2" s="1"/>
  <c r="AB39" i="2"/>
  <c r="AB40" i="2" s="1"/>
  <c r="AA39" i="2"/>
  <c r="AA40" i="2" s="1"/>
  <c r="Z39" i="2"/>
  <c r="Z40" i="2" s="1"/>
  <c r="Y39" i="2"/>
  <c r="Y40" i="2" s="1"/>
  <c r="AJ29" i="2"/>
  <c r="AJ30" i="2" s="1"/>
  <c r="AI29" i="2"/>
  <c r="AI30" i="2" s="1"/>
  <c r="AH29" i="2"/>
  <c r="AH30" i="2" s="1"/>
  <c r="AG29" i="2"/>
  <c r="AG30" i="2" s="1"/>
  <c r="AF29" i="2"/>
  <c r="AF30" i="2" s="1"/>
  <c r="AE29" i="2"/>
  <c r="AE30" i="2" s="1"/>
  <c r="AD29" i="2"/>
  <c r="AD30" i="2" s="1"/>
  <c r="AC29" i="2"/>
  <c r="AC30" i="2" s="1"/>
  <c r="AB29" i="2"/>
  <c r="AB30" i="2" s="1"/>
  <c r="AA29" i="2"/>
  <c r="AA30" i="2" s="1"/>
  <c r="Z29" i="2"/>
  <c r="Z30" i="2" s="1"/>
  <c r="Y29" i="2"/>
  <c r="Y30" i="2" s="1"/>
  <c r="AK18" i="2"/>
  <c r="AK19" i="2"/>
  <c r="AK17" i="2"/>
  <c r="O10" i="3" l="1"/>
  <c r="K31" i="1"/>
  <c r="K16" i="1"/>
  <c r="M35" i="1"/>
  <c r="M20" i="1"/>
  <c r="H35" i="1"/>
  <c r="H20" i="1"/>
  <c r="J35" i="1"/>
  <c r="J20" i="1"/>
  <c r="D35" i="1"/>
  <c r="D20" i="1"/>
  <c r="K35" i="1"/>
  <c r="K20" i="1"/>
  <c r="C35" i="1"/>
  <c r="C38" i="1" s="1"/>
  <c r="C20" i="1"/>
  <c r="C23" i="1" s="1"/>
  <c r="G5" i="6"/>
  <c r="G35" i="1"/>
  <c r="G20" i="1"/>
  <c r="E35" i="1"/>
  <c r="E20" i="1"/>
  <c r="L35" i="1"/>
  <c r="L20" i="1"/>
  <c r="I4" i="2"/>
  <c r="F30" i="1" s="1" a="1"/>
  <c r="F30" i="1" s="1"/>
  <c r="E30" i="1" a="1"/>
  <c r="E30" i="1" s="1"/>
  <c r="I8" i="4"/>
  <c r="F32" i="1" s="1"/>
  <c r="E32" i="1"/>
  <c r="E15" i="1" a="1"/>
  <c r="E15" i="1" s="1"/>
  <c r="E17" i="1"/>
  <c r="AK29" i="2"/>
  <c r="AK30" i="2" s="1"/>
  <c r="AK39" i="2"/>
  <c r="AK40" i="2" s="1"/>
  <c r="P10" i="3" l="1"/>
  <c r="L31" i="1"/>
  <c r="L16" i="1"/>
  <c r="F17" i="1"/>
  <c r="J8" i="4"/>
  <c r="G32" i="1" s="1"/>
  <c r="J4" i="2"/>
  <c r="G30" i="1" s="1" a="1"/>
  <c r="G30" i="1" s="1"/>
  <c r="F15" i="1" a="1"/>
  <c r="F15" i="1" s="1"/>
  <c r="M31" i="1" l="1"/>
  <c r="M16" i="1"/>
  <c r="K8" i="4"/>
  <c r="H32" i="1" s="1"/>
  <c r="K4" i="2"/>
  <c r="H30" i="1" s="1" a="1"/>
  <c r="H30" i="1" s="1"/>
  <c r="G17" i="1"/>
  <c r="G15" i="1" a="1"/>
  <c r="G15" i="1" s="1"/>
  <c r="H17" i="1" l="1"/>
  <c r="L8" i="4"/>
  <c r="I32" i="1" s="1"/>
  <c r="H15" i="1" a="1"/>
  <c r="H15" i="1" s="1"/>
  <c r="L4" i="2"/>
  <c r="I30" i="1" s="1" a="1"/>
  <c r="I30" i="1" s="1"/>
  <c r="M8" i="4"/>
  <c r="J32" i="1" s="1"/>
  <c r="I17" i="1"/>
  <c r="I15" i="1" l="1" a="1"/>
  <c r="I15" i="1" s="1"/>
  <c r="M4" i="2"/>
  <c r="J30" i="1" s="1" a="1"/>
  <c r="J30" i="1" s="1"/>
  <c r="N8" i="4"/>
  <c r="K32" i="1" s="1"/>
  <c r="J17" i="1"/>
  <c r="N4" i="2" l="1"/>
  <c r="K30" i="1" s="1" a="1"/>
  <c r="K30" i="1" s="1"/>
  <c r="J15" i="1" a="1"/>
  <c r="J15" i="1" s="1"/>
  <c r="O8" i="4"/>
  <c r="L32" i="1" s="1"/>
  <c r="K17" i="1"/>
  <c r="K15" i="1" l="1" a="1"/>
  <c r="K15" i="1" s="1"/>
  <c r="O4" i="2"/>
  <c r="L30" i="1" s="1" a="1"/>
  <c r="L30" i="1" s="1"/>
  <c r="P8" i="4"/>
  <c r="L17" i="1"/>
  <c r="L15" i="1" l="1" a="1"/>
  <c r="L15" i="1" s="1"/>
  <c r="P4" i="2"/>
  <c r="M15" i="1" s="1" a="1"/>
  <c r="M15" i="1" s="1"/>
  <c r="M17" i="1"/>
  <c r="M32" i="1"/>
  <c r="G4" i="9"/>
  <c r="M30" i="1" l="1" a="1"/>
  <c r="M30" i="1" s="1"/>
  <c r="H4" i="9"/>
  <c r="D37" i="1"/>
  <c r="D38" i="1" s="1"/>
  <c r="D39" i="1" s="1"/>
  <c r="D22" i="1"/>
  <c r="D23" i="1" s="1"/>
  <c r="D24" i="1" s="1"/>
  <c r="I4" i="9" l="1"/>
  <c r="E22" i="1"/>
  <c r="E23" i="1" s="1"/>
  <c r="E24" i="1" s="1"/>
  <c r="E37" i="1"/>
  <c r="E38" i="1" s="1"/>
  <c r="E39" i="1" s="1"/>
  <c r="J4" i="9" l="1"/>
  <c r="F37" i="1"/>
  <c r="F38" i="1" s="1"/>
  <c r="F39" i="1" s="1"/>
  <c r="F22" i="1"/>
  <c r="F23" i="1" s="1"/>
  <c r="F24" i="1" s="1"/>
  <c r="K4" i="9" l="1"/>
  <c r="G37" i="1"/>
  <c r="G38" i="1" s="1"/>
  <c r="G39" i="1" s="1"/>
  <c r="G22" i="1"/>
  <c r="G23" i="1" s="1"/>
  <c r="G24" i="1" s="1"/>
  <c r="L4" i="9" l="1"/>
  <c r="H22" i="1"/>
  <c r="H23" i="1" s="1"/>
  <c r="H24" i="1" s="1"/>
  <c r="H37" i="1"/>
  <c r="H38" i="1" s="1"/>
  <c r="H39" i="1" s="1"/>
  <c r="M4" i="9" l="1"/>
  <c r="I37" i="1"/>
  <c r="I38" i="1" s="1"/>
  <c r="I39" i="1" s="1"/>
  <c r="I22" i="1"/>
  <c r="I23" i="1" s="1"/>
  <c r="I24" i="1" s="1"/>
  <c r="N4" i="9" l="1"/>
  <c r="J37" i="1"/>
  <c r="J38" i="1" s="1"/>
  <c r="J39" i="1" s="1"/>
  <c r="J22" i="1"/>
  <c r="J23" i="1" s="1"/>
  <c r="J24" i="1" s="1"/>
  <c r="O4" i="9" l="1"/>
  <c r="K37" i="1"/>
  <c r="K38" i="1" s="1"/>
  <c r="K39" i="1" s="1"/>
  <c r="K22" i="1"/>
  <c r="K23" i="1" s="1"/>
  <c r="K24" i="1" s="1"/>
  <c r="P4" i="9" l="1"/>
  <c r="L37" i="1"/>
  <c r="L38" i="1" s="1"/>
  <c r="L39" i="1" s="1"/>
  <c r="L22" i="1"/>
  <c r="L23" i="1" s="1"/>
  <c r="L24" i="1" s="1"/>
  <c r="M37" i="1" l="1"/>
  <c r="M38" i="1" s="1"/>
  <c r="M39" i="1" s="1"/>
  <c r="M22" i="1"/>
  <c r="M23" i="1" s="1"/>
  <c r="M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<sst xmlns="http://schemas.openxmlformats.org/spreadsheetml/2006/main" count="401" uniqueCount="116">
  <si>
    <t>Ampera</t>
  </si>
  <si>
    <t>KM</t>
  </si>
  <si>
    <t>Listrik</t>
  </si>
  <si>
    <t>IT</t>
  </si>
  <si>
    <t>Parkir</t>
  </si>
  <si>
    <t>SH</t>
  </si>
  <si>
    <t>Jenggala</t>
  </si>
  <si>
    <t>Office TE</t>
  </si>
  <si>
    <t>Retail TE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</si>
  <si>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</si>
  <si>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</si>
  <si>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</si>
  <si>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</si>
  <si>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</si>
  <si>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</si>
  <si>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</si>
  <si>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</si>
  <si>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</si>
  <si>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</si>
  <si>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Products</t>
  </si>
  <si>
    <t>Total</t>
  </si>
  <si>
    <t>Kyai Maja</t>
  </si>
  <si>
    <t>Perbandingan Tagihan PLN &amp; Tenant (2019)</t>
  </si>
  <si>
    <t>Description</t>
  </si>
  <si>
    <t>Januari</t>
  </si>
  <si>
    <t>Februari</t>
  </si>
  <si>
    <t>Maret</t>
  </si>
  <si>
    <t xml:space="preserve">April 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</si>
  <si>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</si>
  <si>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</si>
  <si>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</si>
  <si>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</si>
  <si>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</si>
  <si>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</si>
  <si>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</si>
  <si>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</si>
  <si>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Rp</t>
  </si>
  <si>
    <t xml:space="preserve">Invoice PLN </t>
  </si>
  <si>
    <t>Tagihan ke Tenant</t>
  </si>
  <si>
    <t>Selisih</t>
  </si>
  <si>
    <t>Deviasi</t>
  </si>
  <si>
    <t>Perbandingan Tagihan PLN &amp; Tenant (2020)</t>
  </si>
  <si>
    <t>Perbandingan Tagihan PLN &amp; Tenant (2021)</t>
  </si>
  <si>
    <t>Perbandingan Tagihan PLN &amp; Tenant (2022)</t>
  </si>
  <si>
    <t>DC</t>
  </si>
  <si>
    <t>2022</t>
  </si>
  <si>
    <t>Produk</t>
  </si>
  <si>
    <t>Rev Share</t>
  </si>
  <si>
    <t>Sewa Shaft</t>
  </si>
  <si>
    <t>IP PBX</t>
  </si>
  <si>
    <t>E1</t>
  </si>
  <si>
    <t>Casual Mobil</t>
  </si>
  <si>
    <t>Casual Motor</t>
  </si>
  <si>
    <t>Langganan Mobil (Non Medco Grup)</t>
  </si>
  <si>
    <t>Langganan Motor (Non Medco Group</t>
  </si>
  <si>
    <t xml:space="preserve">Occupancy → </t>
  </si>
  <si>
    <t>Listrik Tagihan Tenant</t>
  </si>
  <si>
    <t>2019</t>
  </si>
  <si>
    <t>2020</t>
  </si>
  <si>
    <t>2021</t>
  </si>
  <si>
    <t xml:space="preserve">Yearly = </t>
  </si>
  <si>
    <t>Starting 2023</t>
  </si>
  <si>
    <t>Yearly =</t>
  </si>
  <si>
    <t>Property</t>
  </si>
  <si>
    <t>date</t>
  </si>
  <si>
    <t>Rental</t>
  </si>
  <si>
    <t>SC</t>
  </si>
  <si>
    <t>Occ</t>
  </si>
  <si>
    <t>OccPct</t>
  </si>
  <si>
    <t>2.35%</t>
  </si>
  <si>
    <t>1%</t>
  </si>
  <si>
    <t xml:space="preserve"> IT Projection ←</t>
  </si>
  <si>
    <t>→ Simple projection</t>
  </si>
  <si>
    <t xml:space="preserve">  Actual/Outlook ←</t>
  </si>
  <si>
    <t>→ Simple projection based on occupancy</t>
  </si>
  <si>
    <t>Yearly Increase</t>
  </si>
  <si>
    <t>Increase</t>
  </si>
  <si>
    <t>Avg Monthly =</t>
  </si>
  <si>
    <t xml:space="preserve">Avg Monthly = </t>
  </si>
  <si>
    <t>Parking Dept Data ←</t>
  </si>
  <si>
    <t>Corridor (31)</t>
  </si>
  <si>
    <t>Corridor (23)</t>
  </si>
  <si>
    <t>Corridor (21)</t>
  </si>
  <si>
    <t>Line (17) extend</t>
  </si>
  <si>
    <t>Ginting (15) extend</t>
  </si>
  <si>
    <t>Anugrah (10) extend</t>
  </si>
  <si>
    <t>New Tenant (10EF)</t>
  </si>
  <si>
    <t>Samsung (26BC) extend</t>
  </si>
  <si>
    <t>Macmahon (25CD) expand</t>
  </si>
  <si>
    <t>Raiz (10A) extend</t>
  </si>
  <si>
    <t>New Tenant (10G)</t>
  </si>
  <si>
    <t>Job Simenggaris (26D) extend</t>
  </si>
  <si>
    <t>New Tenant (25B)</t>
  </si>
  <si>
    <t>Sritex (20BCD) extend</t>
  </si>
  <si>
    <t>JPM (5/6) extend</t>
  </si>
  <si>
    <t>MEPI (32ABF) expand</t>
  </si>
  <si>
    <t>New Tenant (11)</t>
  </si>
  <si>
    <t>JOB Simenggaris (26BC) expand</t>
  </si>
  <si>
    <t>Korea Agro (20F)</t>
  </si>
  <si>
    <t>ADPMET (9B)</t>
  </si>
  <si>
    <t>Samsung (26BC)</t>
  </si>
  <si>
    <t>OUT</t>
  </si>
  <si>
    <t>IN/EXTEND/EXPAND</t>
  </si>
  <si>
    <t>Sritex (20BCD)</t>
  </si>
  <si>
    <t>Astra Nawa (27AB) extend</t>
  </si>
  <si>
    <t>Astra Nawa (27AB)</t>
  </si>
  <si>
    <t>Thunderbird (9C) extend</t>
  </si>
  <si>
    <t>MPI (9ADEFG) expand</t>
  </si>
  <si>
    <t>INALUM (19) extend</t>
  </si>
  <si>
    <t>MinID (16) extend</t>
  </si>
  <si>
    <t>MindID (16)</t>
  </si>
  <si>
    <t>The Energy (1)</t>
  </si>
  <si>
    <t>The Energy (2)</t>
  </si>
  <si>
    <t>Dago Condotel</t>
  </si>
  <si>
    <t>SC Medco (per tahun)</t>
  </si>
  <si>
    <t>Before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</si>
</sst>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_-[$Rp-421]* #,##0_ ;_-[$Rp-421]* \-#,##0\ ;_-[$Rp-421]* &quot;-&quot;_ ;_-@_ "/>
    <numFmt numFmtId="166" formatCode="_-* #,##0.00_-;\-* #,##0.00_-;_-* &quot;-&quot;??_-;_-@_-"/>
    <numFmt numFmtId="167" formatCode="0,00#"/>
    <numFmt numFmtId="168" formatCode="yyyy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  <font>
      <sz val="12"/>
      <color theme="1"/>
      <name val="Helvetica"/>
      <family val="2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C6E0B4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/>
  </cellStyleXfs>
  <cellXfs count="113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64" fontId="4" fillId="0" borderId="0" xfId="1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vertical="center"/>
    </xf>
    <xf numFmtId="164" fontId="0" fillId="0" borderId="0" xfId="0" applyNumberFormat="1" applyAlignment="1">
      <alignment vertical="center"/>
    </xf>
    <xf numFmtId="0" fontId="4" fillId="0" borderId="0" xfId="1" applyNumberFormat="1" applyFont="1" applyFill="1" applyBorder="1" applyAlignment="1">
      <alignment vertical="center"/>
    </xf>
    <xf numFmtId="0" fontId="0" fillId="0" borderId="0" xfId="1" applyNumberFormat="1" applyFont="1" applyAlignment="1">
      <alignment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10" fontId="4" fillId="0" borderId="0" xfId="0" applyNumberFormat="1" applyFont="1" applyAlignment="1">
      <alignment horizontal="right" vertical="center"/>
    </xf>
    <xf numFmtId="164" fontId="3" fillId="0" borderId="0" xfId="1" applyNumberFormat="1" applyFont="1" applyAlignment="1">
      <alignment horizontal="center" vertical="center"/>
    </xf>
    <xf numFmtId="164" fontId="0" fillId="0" borderId="23" xfId="1" applyNumberFormat="1" applyFont="1" applyBorder="1" applyAlignment="1">
      <alignment vertical="center"/>
    </xf>
    <xf numFmtId="164" fontId="0" fillId="0" borderId="24" xfId="1" applyNumberFormat="1" applyFont="1" applyBorder="1" applyAlignment="1">
      <alignment vertical="center"/>
    </xf>
    <xf numFmtId="164" fontId="0" fillId="0" borderId="25" xfId="1" applyNumberFormat="1" applyFont="1" applyBorder="1" applyAlignment="1">
      <alignment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1" applyNumberFormat="1" applyFont="1" applyFill="1" applyBorder="1" applyAlignment="1">
      <alignment horizontal="center" vertical="center"/>
    </xf>
    <xf numFmtId="0" fontId="2" fillId="2" borderId="27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168" fontId="2" fillId="8" borderId="0" xfId="0" applyNumberFormat="1" applyFont="1" applyFill="1" applyAlignment="1">
      <alignment horizontal="center" vertical="center"/>
    </xf>
    <xf numFmtId="167" fontId="0" fillId="0" borderId="15" xfId="0" applyNumberFormat="1" applyBorder="1" applyAlignment="1">
      <alignment vertical="center"/>
    </xf>
    <xf numFmtId="167" fontId="0" fillId="0" borderId="5" xfId="0" applyNumberFormat="1" applyBorder="1" applyAlignment="1">
      <alignment vertical="center"/>
    </xf>
    <xf numFmtId="167" fontId="3" fillId="0" borderId="15" xfId="0" applyNumberFormat="1" applyFont="1" applyBorder="1" applyAlignment="1">
      <alignment vertical="center"/>
    </xf>
    <xf numFmtId="167" fontId="3" fillId="0" borderId="5" xfId="0" applyNumberFormat="1" applyFont="1" applyBorder="1" applyAlignment="1">
      <alignment vertical="center"/>
    </xf>
    <xf numFmtId="10" fontId="0" fillId="0" borderId="15" xfId="0" applyNumberFormat="1" applyBorder="1" applyAlignment="1">
      <alignment vertical="center"/>
    </xf>
    <xf numFmtId="10" fontId="0" fillId="0" borderId="5" xfId="0" applyNumberForma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0" borderId="24" xfId="0" applyFont="1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0" xfId="0" applyAlignment="1">
      <alignment horizontal="right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37" fontId="0" fillId="0" borderId="0" xfId="1" applyNumberFormat="1" applyFont="1" applyAlignment="1">
      <alignment vertical="center"/>
    </xf>
    <xf numFmtId="0" fontId="2" fillId="8" borderId="0" xfId="0" applyFont="1" applyFill="1" applyAlignment="1">
      <alignment vertical="center"/>
    </xf>
    <xf numFmtId="0" fontId="8" fillId="4" borderId="9" xfId="0" applyFont="1" applyFill="1" applyBorder="1" applyAlignment="1">
      <alignment horizontal="center" vertical="center"/>
    </xf>
    <xf numFmtId="165" fontId="9" fillId="0" borderId="7" xfId="0" applyNumberFormat="1" applyFont="1" applyBorder="1" applyAlignment="1">
      <alignment horizontal="right" vertical="center"/>
    </xf>
    <xf numFmtId="165" fontId="5" fillId="0" borderId="7" xfId="0" applyNumberFormat="1" applyFont="1" applyBorder="1" applyAlignment="1">
      <alignment vertical="center"/>
    </xf>
    <xf numFmtId="165" fontId="5" fillId="7" borderId="7" xfId="0" applyNumberFormat="1" applyFont="1" applyFill="1" applyBorder="1" applyAlignment="1">
      <alignment vertical="center"/>
    </xf>
    <xf numFmtId="166" fontId="5" fillId="0" borderId="0" xfId="0" applyNumberFormat="1" applyFont="1" applyAlignment="1">
      <alignment vertical="center"/>
    </xf>
    <xf numFmtId="0" fontId="2" fillId="8" borderId="0" xfId="0" applyFont="1" applyFill="1" applyAlignment="1">
      <alignment horizontal="right" vertical="center"/>
    </xf>
    <xf numFmtId="0" fontId="8" fillId="4" borderId="10" xfId="0" applyFont="1" applyFill="1" applyBorder="1" applyAlignment="1">
      <alignment horizontal="center" vertical="center"/>
    </xf>
    <xf numFmtId="9" fontId="5" fillId="0" borderId="11" xfId="0" applyNumberFormat="1" applyFont="1" applyBorder="1" applyAlignment="1">
      <alignment horizontal="center" vertical="center"/>
    </xf>
    <xf numFmtId="43" fontId="0" fillId="0" borderId="0" xfId="1" applyFont="1" applyAlignment="1">
      <alignment vertical="center"/>
    </xf>
    <xf numFmtId="0" fontId="11" fillId="6" borderId="17" xfId="0" applyFont="1" applyFill="1" applyBorder="1" applyAlignment="1">
      <alignment horizontal="center" vertical="center"/>
    </xf>
    <xf numFmtId="165" fontId="12" fillId="0" borderId="8" xfId="3" applyNumberFormat="1" applyBorder="1" applyAlignment="1">
      <alignment horizontal="right" vertical="center"/>
    </xf>
    <xf numFmtId="0" fontId="11" fillId="6" borderId="18" xfId="0" applyFont="1" applyFill="1" applyBorder="1" applyAlignment="1">
      <alignment horizontal="center" vertical="center"/>
    </xf>
    <xf numFmtId="9" fontId="0" fillId="0" borderId="19" xfId="2" applyFont="1" applyBorder="1" applyAlignment="1">
      <alignment horizontal="center" vertical="center"/>
    </xf>
    <xf numFmtId="43" fontId="12" fillId="0" borderId="8" xfId="1" applyFont="1" applyBorder="1" applyAlignment="1">
      <alignment horizontal="right" vertical="center"/>
    </xf>
    <xf numFmtId="10" fontId="0" fillId="7" borderId="21" xfId="0" applyNumberFormat="1" applyFill="1" applyBorder="1" applyAlignment="1">
      <alignment horizontal="center" vertical="center"/>
    </xf>
    <xf numFmtId="10" fontId="0" fillId="7" borderId="0" xfId="0" applyNumberFormat="1" applyFill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164" fontId="0" fillId="7" borderId="21" xfId="1" applyNumberFormat="1" applyFont="1" applyFill="1" applyBorder="1" applyAlignment="1">
      <alignment vertical="center"/>
    </xf>
    <xf numFmtId="164" fontId="0" fillId="7" borderId="0" xfId="1" applyNumberFormat="1" applyFont="1" applyFill="1" applyAlignment="1">
      <alignment vertical="center"/>
    </xf>
    <xf numFmtId="0" fontId="0" fillId="7" borderId="21" xfId="0" applyFill="1" applyBorder="1" applyAlignment="1">
      <alignment vertical="center"/>
    </xf>
    <xf numFmtId="0" fontId="0" fillId="7" borderId="0" xfId="0" applyFill="1" applyAlignment="1">
      <alignment vertical="center"/>
    </xf>
    <xf numFmtId="9" fontId="0" fillId="0" borderId="0" xfId="2" applyFont="1" applyAlignment="1">
      <alignment vertical="center"/>
    </xf>
    <xf numFmtId="9" fontId="0" fillId="7" borderId="21" xfId="2" applyFont="1" applyFill="1" applyBorder="1" applyAlignment="1">
      <alignment vertical="center"/>
    </xf>
    <xf numFmtId="9" fontId="0" fillId="7" borderId="0" xfId="0" applyNumberFormat="1" applyFill="1" applyAlignment="1">
      <alignment vertical="center"/>
    </xf>
    <xf numFmtId="10" fontId="0" fillId="8" borderId="21" xfId="0" applyNumberFormat="1" applyFill="1" applyBorder="1" applyAlignment="1">
      <alignment horizontal="center" vertical="center"/>
    </xf>
    <xf numFmtId="9" fontId="0" fillId="8" borderId="0" xfId="0" applyNumberFormat="1" applyFill="1" applyAlignment="1">
      <alignment horizontal="center" vertical="center"/>
    </xf>
    <xf numFmtId="164" fontId="0" fillId="7" borderId="21" xfId="0" applyNumberFormat="1" applyFill="1" applyBorder="1" applyAlignment="1">
      <alignment vertical="center"/>
    </xf>
    <xf numFmtId="164" fontId="0" fillId="7" borderId="0" xfId="0" applyNumberFormat="1" applyFill="1" applyAlignment="1">
      <alignment vertical="center"/>
    </xf>
    <xf numFmtId="0" fontId="14" fillId="0" borderId="20" xfId="0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0" fillId="0" borderId="22" xfId="0" applyBorder="1" applyAlignment="1">
      <alignment vertical="center"/>
    </xf>
    <xf numFmtId="10" fontId="0" fillId="0" borderId="21" xfId="0" applyNumberFormat="1" applyBorder="1" applyAlignment="1">
      <alignment horizontal="center" vertical="center"/>
    </xf>
    <xf numFmtId="43" fontId="0" fillId="7" borderId="21" xfId="0" applyNumberFormat="1" applyFill="1" applyBorder="1" applyAlignment="1">
      <alignment vertical="center"/>
    </xf>
    <xf numFmtId="43" fontId="0" fillId="7" borderId="0" xfId="0" applyNumberFormat="1" applyFill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0" fontId="16" fillId="0" borderId="0" xfId="0" applyFont="1"/>
    <xf numFmtId="0" fontId="3" fillId="9" borderId="28" xfId="0" applyFont="1" applyFill="1" applyBorder="1"/>
    <xf numFmtId="0" fontId="0" fillId="0" borderId="29" xfId="0" applyBorder="1"/>
    <xf numFmtId="0" fontId="17" fillId="0" borderId="29" xfId="0" applyFont="1" applyBorder="1"/>
    <xf numFmtId="0" fontId="3" fillId="9" borderId="29" xfId="0" applyFont="1" applyFill="1" applyBorder="1"/>
    <xf numFmtId="0" fontId="0" fillId="0" borderId="30" xfId="0" applyBorder="1"/>
    <xf numFmtId="0" fontId="15" fillId="0" borderId="29" xfId="0" applyFont="1" applyBorder="1"/>
    <xf numFmtId="0" fontId="15" fillId="0" borderId="30" xfId="0" applyFont="1" applyBorder="1"/>
    <xf numFmtId="0" fontId="3" fillId="9" borderId="29" xfId="0" applyFont="1" applyFill="1" applyBorder="1" applyAlignment="1">
      <alignment horizontal="center"/>
    </xf>
    <xf numFmtId="0" fontId="3" fillId="9" borderId="28" xfId="0" applyFont="1" applyFill="1" applyBorder="1" applyAlignment="1">
      <alignment horizontal="center"/>
    </xf>
    <xf numFmtId="164" fontId="17" fillId="0" borderId="0" xfId="1" applyNumberFormat="1" applyFont="1" applyAlignment="1">
      <alignment vertical="center"/>
    </xf>
    <xf numFmtId="164" fontId="18" fillId="0" borderId="0" xfId="1" applyNumberFormat="1" applyFont="1" applyAlignment="1">
      <alignment vertical="center"/>
    </xf>
    <xf numFmtId="167" fontId="0" fillId="0" borderId="0" xfId="0" applyNumberFormat="1" applyAlignment="1">
      <alignment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2" xfId="3" xr:uid="{CE309EA9-2ACD-FD45-9E22-4DD1ECE3D7F0}"/>
    <cellStyle name="Percent" xfId="2" builtinId="5"/>
  </cellStyles>
  <dxfs count="286"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</font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0" formatCode="General"/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/>
              <a:t>REVENUE - 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Scenario 1</c:v>
          </c:tx>
          <c:spPr>
            <a:ln w="22225" cap="rnd" cmpd="sng" algn="ctr">
              <a:solidFill>
                <a:schemeClr val="accent5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Summary!$C$12:$M$12</c:f>
              <c:strCache>
                <c:ptCount val="11"/>
                <c:pt idx="0">
                  <c:v> 2022 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</c:strCache>
            </c:strRef>
          </c:cat>
          <c:val>
            <c:numRef>
              <c:f>Summary!$C$23:$M$23</c:f>
              <c:numCache>
                <c:formatCode>_(* #,##0_);_(* \(#,##0\);_(* "-"??_);_(@_)</c:formatCode>
                <c:ptCount val="11"/>
                <c:pt idx="0">
                  <c:v>320000736080.66931</c:v>
                </c:pt>
                <c:pt idx="1">
                  <c:v>338705101412.07971</c:v>
                </c:pt>
                <c:pt idx="2">
                  <c:v>369808233471.06494</c:v>
                </c:pt>
                <c:pt idx="3">
                  <c:v>371183345680.15674</c:v>
                </c:pt>
                <c:pt idx="4">
                  <c:v>371661489370.69165</c:v>
                </c:pt>
                <c:pt idx="5">
                  <c:v>384827536591.31122</c:v>
                </c:pt>
                <c:pt idx="6">
                  <c:v>386159518622.84161</c:v>
                </c:pt>
                <c:pt idx="7">
                  <c:v>387259518622.84161</c:v>
                </c:pt>
                <c:pt idx="8">
                  <c:v>389547519772.49731</c:v>
                </c:pt>
                <c:pt idx="9">
                  <c:v>390543520155.71582</c:v>
                </c:pt>
                <c:pt idx="10">
                  <c:v>391143520155.71582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98-5144-8E3B-861D4A1BC1FC}"/>
            </c:ext>
          </c:extLst>
        </c:ser>
        <c:ser>
          <c:idx val="1"/>
          <c:order val="1"/>
          <c:tx>
            <c:v>Scenario 2</c:v>
          </c:tx>
          <c:spPr>
            <a:ln w="22225" cap="rnd" cmpd="sng" algn="ctr">
              <a:solidFill>
                <a:schemeClr val="accent5">
                  <a:tint val="77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Summary!$C$38:$M$38</c:f>
              <c:numCache>
                <c:formatCode>_(* #,##0_);_(* \(#,##0\);_(* "-"??_);_(@_)</c:formatCode>
                <c:ptCount val="11"/>
                <c:pt idx="0">
                  <c:v>318004246480.66931</c:v>
                </c:pt>
                <c:pt idx="1">
                  <c:v>324960894070.00977</c:v>
                </c:pt>
                <c:pt idx="2">
                  <c:v>352415288250.59235</c:v>
                </c:pt>
                <c:pt idx="3">
                  <c:v>354240884197.19928</c:v>
                </c:pt>
                <c:pt idx="4">
                  <c:v>354476435847.73425</c:v>
                </c:pt>
                <c:pt idx="5">
                  <c:v>354609965690.89905</c:v>
                </c:pt>
                <c:pt idx="6">
                  <c:v>355922605204.02161</c:v>
                </c:pt>
                <c:pt idx="7">
                  <c:v>357022605204.02161</c:v>
                </c:pt>
                <c:pt idx="8">
                  <c:v>359115311753.67725</c:v>
                </c:pt>
                <c:pt idx="9">
                  <c:v>360046213936.89581</c:v>
                </c:pt>
                <c:pt idx="10">
                  <c:v>360646213936.89581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76-B040-B1A5-FA4D137C6A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712312464"/>
        <c:axId val="712314112"/>
      </c:lineChart>
      <c:catAx>
        <c:axId val="71231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12314112"/>
        <c:crosses val="autoZero"/>
        <c:auto val="1"/>
        <c:lblAlgn val="ctr"/>
        <c:lblOffset val="100"/>
        <c:noMultiLvlLbl val="0"/>
      </c:catAx>
      <c:valAx>
        <c:axId val="712314112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12312464"/>
        <c:crosses val="autoZero"/>
        <c:crossBetween val="between"/>
        <c:dispUnits>
          <c:builtInUnit val="billions"/>
          <c:dispUnitsLbl>
            <c:layout>
              <c:manualLayout>
                <c:xMode val="edge"/>
                <c:yMode val="edge"/>
                <c:x val="7.3133929525777608E-3"/>
                <c:y val="0.33796296296296297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dTable>
        <c:showHorzBorder val="0"/>
        <c:showVertBorder val="0"/>
        <c:showOutline val="1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/>
              <a:t>OCCUPANCY - TE OFFICE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Scenario 1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'TE Office'!$C$4:$M$4</c:f>
              <c:numCache>
                <c:formatCode>yyyy</c:formatCode>
                <c:ptCount val="11"/>
                <c:pt idx="0">
                  <c:v>44926</c:v>
                </c:pt>
                <c:pt idx="1">
                  <c:v>45291</c:v>
                </c:pt>
                <c:pt idx="2">
                  <c:v>45657</c:v>
                </c:pt>
                <c:pt idx="3">
                  <c:v>46022</c:v>
                </c:pt>
                <c:pt idx="4">
                  <c:v>46387</c:v>
                </c:pt>
                <c:pt idx="5">
                  <c:v>46752</c:v>
                </c:pt>
                <c:pt idx="6">
                  <c:v>47118</c:v>
                </c:pt>
                <c:pt idx="7">
                  <c:v>47483</c:v>
                </c:pt>
                <c:pt idx="8">
                  <c:v>47848</c:v>
                </c:pt>
                <c:pt idx="9">
                  <c:v>48213</c:v>
                </c:pt>
                <c:pt idx="10">
                  <c:v>48579</c:v>
                </c:pt>
              </c:numCache>
            </c:numRef>
          </c:cat>
          <c:val>
            <c:numRef>
              <c:f>'TE Office'!$C$9:$M$9</c:f>
              <c:numCache>
                <c:formatCode>0.00%</c:formatCode>
                <c:ptCount val="11"/>
                <c:pt idx="0">
                  <c:v>0.80651318506282987</c:v>
                </c:pt>
                <c:pt idx="1">
                  <c:v>0.84746186247561472</c:v>
                </c:pt>
                <c:pt idx="2">
                  <c:v>0.90940881520945416</c:v>
                </c:pt>
                <c:pt idx="3">
                  <c:v>0.9061006849015163</c:v>
                </c:pt>
                <c:pt idx="4">
                  <c:v>0.90275531722103852</c:v>
                </c:pt>
                <c:pt idx="5">
                  <c:v>0.92456308122655606</c:v>
                </c:pt>
                <c:pt idx="6">
                  <c:v>0.92228541358341343</c:v>
                </c:pt>
                <c:pt idx="7">
                  <c:v>0.92228541358341343</c:v>
                </c:pt>
                <c:pt idx="8">
                  <c:v>0.92228541358341343</c:v>
                </c:pt>
                <c:pt idx="9">
                  <c:v>0.92228541358341343</c:v>
                </c:pt>
                <c:pt idx="10">
                  <c:v>0.92228541358341343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6E-9B46-B68D-BE026E67C9A8}"/>
            </c:ext>
          </c:extLst>
        </c:ser>
        <c:ser>
          <c:idx val="1"/>
          <c:order val="1"/>
          <c:tx>
            <c:v>Scenario 2</c:v>
          </c:tx>
          <c:spPr>
            <a:ln w="22225" cap="rnd" cmpd="sng" algn="ctr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'TE Office'!$C$18:$M$18</c:f>
              <c:numCache>
                <c:formatCode>0.00%</c:formatCode>
                <c:ptCount val="11"/>
                <c:pt idx="0">
                  <c:v>0.80525498994983757</c:v>
                </c:pt>
                <c:pt idx="1">
                  <c:v>0.80985763184168136</c:v>
                </c:pt>
                <c:pt idx="2">
                  <c:v>0.86385627153958866</c:v>
                </c:pt>
                <c:pt idx="3">
                  <c:v>0.86259294496847894</c:v>
                </c:pt>
                <c:pt idx="4">
                  <c:v>0.86038191766189331</c:v>
                </c:pt>
                <c:pt idx="5">
                  <c:v>0.84411497590289675</c:v>
                </c:pt>
                <c:pt idx="6">
                  <c:v>0.84176328627380548</c:v>
                </c:pt>
                <c:pt idx="7">
                  <c:v>0.84175505398805606</c:v>
                </c:pt>
                <c:pt idx="8">
                  <c:v>0.84175505398805606</c:v>
                </c:pt>
                <c:pt idx="9">
                  <c:v>0.84175505398805606</c:v>
                </c:pt>
                <c:pt idx="10">
                  <c:v>0.84175505398805606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3B-7C46-8C6F-6A005A07CA5D}"/>
            </c:ext>
          </c:extLst>
        </c:ser>
        <c:ser>
          <c:idx val="2"/>
          <c:order val="2"/>
          <c:tx>
            <c:v>1 original</c:v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'TE Office'!$C$51:$M$51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0F-9D44-A93F-5B70C9A5F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760387983"/>
        <c:axId val="760560543"/>
      </c:lineChart>
      <c:dateAx>
        <c:axId val="760387983"/>
        <c:scaling>
          <c:orientation val="minMax"/>
        </c:scaling>
        <c:delete val="0"/>
        <c:axPos val="b"/>
        <c:numFmt formatCode="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560543"/>
        <c:crosses val="autoZero"/>
        <c:auto val="1"/>
        <c:lblOffset val="100"/>
        <c:baseTimeUnit val="years"/>
      </c:dateAx>
      <c:valAx>
        <c:axId val="760560543"/>
        <c:scaling>
          <c:orientation val="minMax"/>
          <c:max val="1"/>
          <c:min val="0.70000000000000007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387983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/>
              <a:t>REVENUE - TE OFFICE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Scenario 1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'TE Office'!$C$4:$M$4</c:f>
              <c:numCache>
                <c:formatCode>yyyy</c:formatCode>
                <c:ptCount val="11"/>
                <c:pt idx="0">
                  <c:v>44926</c:v>
                </c:pt>
                <c:pt idx="1">
                  <c:v>45291</c:v>
                </c:pt>
                <c:pt idx="2">
                  <c:v>45657</c:v>
                </c:pt>
                <c:pt idx="3">
                  <c:v>46022</c:v>
                </c:pt>
                <c:pt idx="4">
                  <c:v>46387</c:v>
                </c:pt>
                <c:pt idx="5">
                  <c:v>46752</c:v>
                </c:pt>
                <c:pt idx="6">
                  <c:v>47118</c:v>
                </c:pt>
                <c:pt idx="7">
                  <c:v>47483</c:v>
                </c:pt>
                <c:pt idx="8">
                  <c:v>47848</c:v>
                </c:pt>
                <c:pt idx="9">
                  <c:v>48213</c:v>
                </c:pt>
                <c:pt idx="10">
                  <c:v>48579</c:v>
                </c:pt>
              </c:numCache>
            </c:numRef>
          </c:cat>
          <c:val>
            <c:numRef>
              <c:f>'TE Office'!$C$7:$M$7</c:f>
              <c:numCache>
                <c:formatCode>0,00#</c:formatCode>
                <c:ptCount val="11"/>
                <c:pt idx="0">
                  <c:v>248951980320.72696</c:v>
                </c:pt>
                <c:pt idx="1">
                  <c:v>259869334084.18256</c:v>
                </c:pt>
                <c:pt idx="2">
                  <c:v>279770671830.10236</c:v>
                </c:pt>
                <c:pt idx="3">
                  <c:v>278616122955.80579</c:v>
                </c:pt>
                <c:pt idx="4">
                  <c:v>276680466155.80579</c:v>
                </c:pt>
                <c:pt idx="5">
                  <c:v>284995854572.91614</c:v>
                </c:pt>
                <c:pt idx="6">
                  <c:v>284567345064.54254</c:v>
                </c:pt>
                <c:pt idx="7">
                  <c:v>284567345064.54254</c:v>
                </c:pt>
                <c:pt idx="8">
                  <c:v>285755346214.19824</c:v>
                </c:pt>
                <c:pt idx="9">
                  <c:v>286151346597.41675</c:v>
                </c:pt>
                <c:pt idx="10">
                  <c:v>286151346597.41675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F4-A24A-8318-828C2CCDC760}"/>
            </c:ext>
          </c:extLst>
        </c:ser>
        <c:ser>
          <c:idx val="1"/>
          <c:order val="1"/>
          <c:tx>
            <c:v>Scenario 2</c:v>
          </c:tx>
          <c:spPr>
            <a:ln w="22225" cap="rnd" cmpd="sng" algn="ctr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'TE Office'!$C$16:$M$16</c:f>
              <c:numCache>
                <c:formatCode>0,00#</c:formatCode>
                <c:ptCount val="11"/>
                <c:pt idx="0">
                  <c:v>248555490720.72696</c:v>
                </c:pt>
                <c:pt idx="1">
                  <c:v>247725126742.11261</c:v>
                </c:pt>
                <c:pt idx="2">
                  <c:v>264727726609.62979</c:v>
                </c:pt>
                <c:pt idx="3">
                  <c:v>264273661472.84836</c:v>
                </c:pt>
                <c:pt idx="4">
                  <c:v>262845412632.84836</c:v>
                </c:pt>
                <c:pt idx="5">
                  <c:v>258128283672.504</c:v>
                </c:pt>
                <c:pt idx="6">
                  <c:v>257680431645.72256</c:v>
                </c:pt>
                <c:pt idx="7">
                  <c:v>257680431645.72256</c:v>
                </c:pt>
                <c:pt idx="8">
                  <c:v>258673138195.3782</c:v>
                </c:pt>
                <c:pt idx="9">
                  <c:v>259004040378.59674</c:v>
                </c:pt>
                <c:pt idx="10">
                  <c:v>259004040378.59674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09-6F4A-BBB0-2EE93AB2C5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760387983"/>
        <c:axId val="760560543"/>
      </c:lineChart>
      <c:dateAx>
        <c:axId val="760387983"/>
        <c:scaling>
          <c:orientation val="minMax"/>
        </c:scaling>
        <c:delete val="0"/>
        <c:axPos val="b"/>
        <c:numFmt formatCode="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560543"/>
        <c:crosses val="autoZero"/>
        <c:auto val="1"/>
        <c:lblOffset val="100"/>
        <c:baseTimeUnit val="years"/>
      </c:dateAx>
      <c:valAx>
        <c:axId val="760560543"/>
        <c:scaling>
          <c:orientation val="minMax"/>
          <c:min val="150000000000"/>
        </c:scaling>
        <c:delete val="0"/>
        <c:axPos val="l"/>
        <c:numFmt formatCode="0,00#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387983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</xdr:colOff>
      <xdr:row>39</xdr:row>
      <xdr:rowOff>52146</xdr:rowOff>
    </xdr:from>
    <xdr:to>
      <xdr:col>13</xdr:col>
      <xdr:colOff>825499</xdr:colOff>
      <xdr:row>71</xdr:row>
      <xdr:rowOff>83576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3D8A6D-02AD-354F-C101-E8617CD380F2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279400</xdr:colOff>
      <xdr:row>11</xdr:row>
      <xdr:rowOff>0</xdr:rowOff>
    </xdr:from>
    <xdr:to>
      <xdr:col>0</xdr:col>
      <xdr:colOff>713588</xdr:colOff>
      <xdr:row>15</xdr:row>
      <xdr:rowOff>69470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6551878-B170-E642-AAA8-A0E824CB8F1E}"/>
            </a:ext>
          </a:extLst>
        </xdr:cNvPr>
        <xdr:cNvSpPr txBox="1"/>
      </xdr:nvSpPr>
      <xdr:spPr>
        <a:xfrm rot="16200000">
          <a:off x="-46241" y="261164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279400</xdr:colOff>
      <xdr:row>26</xdr:row>
      <xdr:rowOff>5970</xdr:rowOff>
    </xdr:from>
    <xdr:to>
      <xdr:col>0</xdr:col>
      <xdr:colOff>713588</xdr:colOff>
      <xdr:row>30</xdr:row>
      <xdr:rowOff>75440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FC263AC-D45D-9D4E-8048-23A5CE43909D}"/>
            </a:ext>
          </a:extLst>
        </xdr:cNvPr>
        <xdr:cNvSpPr txBox="1"/>
      </xdr:nvSpPr>
      <xdr:spPr>
        <a:xfrm rot="16200000">
          <a:off x="-46241" y="617361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822574</xdr:colOff>
      <xdr:row>19</xdr:row>
      <xdr:rowOff>160296</xdr:rowOff>
    </xdr:from>
    <xdr:to>
      <xdr:col>13</xdr:col>
      <xdr:colOff>6102</xdr:colOff>
      <xdr:row>42</xdr:row>
      <xdr:rowOff>157235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16C55B-4A24-3689-C28B-F6A4F58BE1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815772</xdr:colOff>
      <xdr:row>43</xdr:row>
      <xdr:rowOff>135225</xdr:rowOff>
    </xdr:from>
    <xdr:to>
      <xdr:col>12</xdr:col>
      <xdr:colOff>1149491</xdr:colOff>
      <xdr:row>66</xdr:row>
      <xdr:rowOff>132165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9036CC-3FBB-ED43-9867-E46100BA99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542736</xdr:colOff>
      <xdr:row>3</xdr:row>
      <xdr:rowOff>238803</xdr:rowOff>
    </xdr:from>
    <xdr:to>
      <xdr:col>1</xdr:col>
      <xdr:colOff>151967</xdr:colOff>
      <xdr:row>7</xdr:row>
      <xdr:rowOff>238803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3763921-4C05-6CC5-5767-F8667111D019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542736</xdr:colOff>
      <xdr:row>12</xdr:row>
      <xdr:rowOff>151965</xdr:rowOff>
    </xdr:from>
    <xdr:to>
      <xdr:col>1</xdr:col>
      <xdr:colOff>151967</xdr:colOff>
      <xdr:row>16</xdr:row>
      <xdr:rowOff>151965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9DB5C6A-E5F1-BF9F-B689-0474FE8EC7DD}"/>
            </a:ext>
          </a:extLst>
        </xdr:cNvPr>
        <xdr:cNvSpPr txBox="1"/>
      </xdr:nvSpPr>
      <xdr:spPr>
        <a:xfrm rot="16200000">
          <a:off x="217095" y="3603760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542736</xdr:colOff>
      <xdr:row>0</xdr:row>
      <xdr:rowOff>0</xdr:rowOff>
    </xdr:from>
    <xdr:to>
      <xdr:col>1</xdr:col>
      <xdr:colOff>151967</xdr:colOff>
      <xdr:row>0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10E0986-5351-F041-AB91-DBB9628D4424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542736</xdr:colOff>
      <xdr:row>0</xdr:row>
      <xdr:rowOff>0</xdr:rowOff>
    </xdr:from>
    <xdr:to>
      <xdr:col>1</xdr:col>
      <xdr:colOff>151967</xdr:colOff>
      <xdr:row>0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AC36A4F-D305-9C4B-90B4-E21F843D618F}"/>
            </a:ext>
          </a:extLst>
        </xdr:cNvPr>
        <xdr:cNvSpPr txBox="1"/>
      </xdr:nvSpPr>
      <xdr:spPr>
        <a:xfrm rot="16200000">
          <a:off x="226702" y="3541399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  <xdr:twoCellAnchor>
    <xdr:from>
      <xdr:col>0</xdr:col>
      <xdr:colOff>571500</xdr:colOff>
      <xdr:row>3</xdr:row>
      <xdr:rowOff>0</xdr:rowOff>
    </xdr:from>
    <xdr:to>
      <xdr:col>1</xdr:col>
      <xdr:colOff>180731</xdr:colOff>
      <xdr:row>7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1143C66-7B01-034F-88F7-7188338F9A46}"/>
            </a:ext>
          </a:extLst>
        </xdr:cNvPr>
        <xdr:cNvSpPr txBox="1"/>
      </xdr:nvSpPr>
      <xdr:spPr>
        <a:xfrm rot="16200000">
          <a:off x="255466" y="989134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  <a:p>
          <a:pPr algn="ctr"/>
          <a:r>
            <a:rPr lang="en-US" sz="1100" b="1">
              <a:latin typeface="Helvetica" pitchFamily="2" charset="0"/>
            </a:rPr>
            <a:t>ORIGINAL</a:t>
          </a:r>
        </a:p>
      </xdr:txBody>
    </xdr:sp>
    <xdr:clientData/>
  </xdr:twoCellAnchor>
  <xdr:twoCellAnchor>
    <xdr:from>
      <xdr:col>0</xdr:col>
      <xdr:colOff>542736</xdr:colOff>
      <xdr:row>18</xdr:row>
      <xdr:rowOff>238803</xdr:rowOff>
    </xdr:from>
    <xdr:to>
      <xdr:col>1</xdr:col>
      <xdr:colOff>151967</xdr:colOff>
      <xdr:row>22</xdr:row>
      <xdr:rowOff>238803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A39B45B-5A48-FB4B-8DFC-69D75086FDC8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542736</xdr:colOff>
      <xdr:row>27</xdr:row>
      <xdr:rowOff>238803</xdr:rowOff>
    </xdr:from>
    <xdr:to>
      <xdr:col>1</xdr:col>
      <xdr:colOff>151967</xdr:colOff>
      <xdr:row>31</xdr:row>
      <xdr:rowOff>238803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CC5115C-764A-8A4B-8ECA-C495FFADBF63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542736</xdr:colOff>
      <xdr:row>45</xdr:row>
      <xdr:rowOff>238803</xdr:rowOff>
    </xdr:from>
    <xdr:to>
      <xdr:col>1</xdr:col>
      <xdr:colOff>151967</xdr:colOff>
      <xdr:row>49</xdr:row>
      <xdr:rowOff>238803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CC1F973-2215-0243-B919-9C1A9FAFDC81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</a:t>
          </a:r>
        </a:p>
        <a:p>
          <a:pPr algn="ctr"/>
          <a:r>
            <a:rPr lang="en-US" sz="1100" b="1">
              <a:latin typeface="Helvetica" pitchFamily="2" charset="0"/>
            </a:rPr>
            <a:t>friday noon 1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546100</xdr:colOff>
      <xdr:row>6</xdr:row>
      <xdr:rowOff>12700</xdr:rowOff>
    </xdr:from>
    <xdr:to>
      <xdr:col>1</xdr:col>
      <xdr:colOff>154788</xdr:colOff>
      <xdr:row>11</xdr:row>
      <xdr:rowOff>82170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DC683C4-3222-754D-B66F-AF7A13E5837D}"/>
            </a:ext>
          </a:extLst>
        </xdr:cNvPr>
        <xdr:cNvSpPr txBox="1"/>
      </xdr:nvSpPr>
      <xdr:spPr>
        <a:xfrm rot="16200000">
          <a:off x="220459" y="159564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546100</xdr:colOff>
      <xdr:row>28</xdr:row>
      <xdr:rowOff>18670</xdr:rowOff>
    </xdr:from>
    <xdr:to>
      <xdr:col>1</xdr:col>
      <xdr:colOff>154788</xdr:colOff>
      <xdr:row>33</xdr:row>
      <xdr:rowOff>88140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934FC1C-12DF-7540-BBB9-363BAF095A33}"/>
            </a:ext>
          </a:extLst>
        </xdr:cNvPr>
        <xdr:cNvSpPr txBox="1"/>
      </xdr:nvSpPr>
      <xdr:spPr>
        <a:xfrm rot="16200000">
          <a:off x="220459" y="607201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2</xdr:row>
      <xdr:rowOff>0</xdr:rowOff>
    </xdr:from>
    <xdr:to>
      <xdr:col>0</xdr:col>
      <xdr:colOff>561188</xdr:colOff>
      <xdr:row>6</xdr:row>
      <xdr:rowOff>120270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6768F79-D899-F749-90B6-61A9C2E8A7CD}"/>
            </a:ext>
          </a:extLst>
        </xdr:cNvPr>
        <xdr:cNvSpPr txBox="1"/>
      </xdr:nvSpPr>
      <xdr:spPr>
        <a:xfrm rot="16200000">
          <a:off x="-198641" y="73204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127000</xdr:colOff>
      <xdr:row>6</xdr:row>
      <xdr:rowOff>196470</xdr:rowOff>
    </xdr:from>
    <xdr:to>
      <xdr:col>0</xdr:col>
      <xdr:colOff>561188</xdr:colOff>
      <xdr:row>11</xdr:row>
      <xdr:rowOff>113540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1FAB684-1CFA-0046-B610-574E2CD771AB}"/>
            </a:ext>
          </a:extLst>
        </xdr:cNvPr>
        <xdr:cNvSpPr txBox="1"/>
      </xdr:nvSpPr>
      <xdr:spPr>
        <a:xfrm rot="16200000">
          <a:off x="-198641" y="189371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B90EA2-A127-E547-9D74-1813E6DCC22C}" name="Table2" displayName="Table2" ref="B12:M23" totalsRowCount="1" headerRowDxfId="285" dataDxfId="284" totalsRowDxfId="283" headerRowCellStyle="Comma" dataCellStyle="Comma">
  <autoFilter ref="B12:M22" xr:uid="{0EB90EA2-A127-E547-9D74-1813E6DCC22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23DA6FCF-5860-0F44-9DF1-11C0318051C4}" name="Products" totalsRowLabel="Total" dataDxfId="282" totalsRowDxfId="281"/>
    <tableColumn id="12" xr3:uid="{85475C21-3329-2B45-8444-CA94C08A4946}" name="2022" totalsRowFunction="sum" dataDxfId="280" totalsRowDxfId="279" dataCellStyle="Comma"/>
    <tableColumn id="2" xr3:uid="{39720F4C-EDD5-7B48-9B96-FD9488CF7B6F}" name="2023" totalsRowFunction="sum" dataDxfId="278" totalsRowDxfId="277" dataCellStyle="Comma"/>
    <tableColumn id="3" xr3:uid="{0994F7B4-B62D-534F-9417-0249F38ADE67}" name="2024" totalsRowFunction="sum" dataDxfId="276" totalsRowDxfId="275" dataCellStyle="Comma"/>
    <tableColumn id="4" xr3:uid="{BF5E00BE-9F6A-514F-89E9-FCB3BA9FBE7E}" name="2025" totalsRowFunction="sum" dataDxfId="274" totalsRowDxfId="273" dataCellStyle="Comma"/>
    <tableColumn id="5" xr3:uid="{558C3BB7-E01B-4041-A52C-470E15F68511}" name="2026" totalsRowFunction="sum" dataDxfId="272" totalsRowDxfId="271" dataCellStyle="Comma"/>
    <tableColumn id="6" xr3:uid="{F85D5229-9BC7-6441-95EE-D5D053C638B7}" name="2027" totalsRowFunction="sum" dataDxfId="270" totalsRowDxfId="269" dataCellStyle="Comma"/>
    <tableColumn id="7" xr3:uid="{0358E158-5480-1945-AEC6-9C9BE0041972}" name="2028" totalsRowFunction="sum" dataDxfId="268" totalsRowDxfId="267" dataCellStyle="Comma"/>
    <tableColumn id="8" xr3:uid="{AD2569E3-CD58-DB43-9407-E9740AD84292}" name="2029" totalsRowFunction="sum" dataDxfId="266" totalsRowDxfId="265" dataCellStyle="Comma"/>
    <tableColumn id="9" xr3:uid="{7561F271-4CC3-5147-8982-B20E91E439A9}" name="2030" totalsRowFunction="sum" dataDxfId="264" totalsRowDxfId="263" dataCellStyle="Comma"/>
    <tableColumn id="10" xr3:uid="{BECB626F-1389-A74E-BD36-D45CF00BA3A5}" name="2031" totalsRowFunction="sum" dataDxfId="262" totalsRowDxfId="261" dataCellStyle="Comma"/>
    <tableColumn id="11" xr3:uid="{B473C967-9544-AA40-854E-CE88ACD5AB6C}" name="2032" totalsRowFunction="sum" dataDxfId="260" totalsRowDxfId="259" dataCellStyle="Comma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E7C2B9-CC09-1F4C-AA96-318D7B39B804}" name="Table1" displayName="Table1" ref="B2:M6" totalsRowShown="0" headerRowDxfId="258" tableBorderDxfId="257" headerRowCellStyle="Comma">
  <autoFilter ref="B2:M6" xr:uid="{E1E7C2B9-CC09-1F4C-AA96-318D7B39B80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D8CEC505-5A9A-C44C-8790-B14B27FBB7FB}" name="Property" dataDxfId="256"/>
    <tableColumn id="2" xr3:uid="{9ABCC90A-BD0D-A541-B580-DF5852DC5A91}" name="2022"/>
    <tableColumn id="3" xr3:uid="{EAA55AE6-2F81-4942-B521-BE73C06C24C2}" name="2023"/>
    <tableColumn id="4" xr3:uid="{15467A5D-46B5-1C48-9EDA-1FE519034F37}" name="2024"/>
    <tableColumn id="5" xr3:uid="{663F58AD-1408-8D4C-ACFC-FBB7B248AAD4}" name="2025"/>
    <tableColumn id="6" xr3:uid="{FDF7180F-ABB0-9E4E-85FC-20C3CFEC9AF8}" name="2026"/>
    <tableColumn id="7" xr3:uid="{1F58A400-5A6E-5148-834D-FA92A7883218}" name="2027"/>
    <tableColumn id="8" xr3:uid="{62C6EAB4-93B5-DD49-81E9-122F943B3B01}" name="2028"/>
    <tableColumn id="9" xr3:uid="{7707028A-249E-8340-B080-AA47207986B1}" name="2029"/>
    <tableColumn id="10" xr3:uid="{B7457668-C061-FC45-9700-A28A5DF9C3CC}" name="2030"/>
    <tableColumn id="11" xr3:uid="{3E833AA7-121B-0940-BBEB-C0BBAAA3E690}" name="2031"/>
    <tableColumn id="12" xr3:uid="{20619638-82FE-6A4F-8999-FA5B9C3D7F0B}" name="203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DF35404-3107-2F4A-8FAE-287244C3C7B1}" name="Table211" displayName="Table211" ref="B27:M38" totalsRowCount="1" headerRowDxfId="255" dataDxfId="254" totalsRowDxfId="253" headerRowCellStyle="Comma" dataCellStyle="Comma">
  <autoFilter ref="B27:M37" xr:uid="{7DF35404-3107-2F4A-8FAE-287244C3C7B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1BE954E-A887-ED47-9A07-199A4652794F}" name="Products" totalsRowLabel="Total" dataDxfId="252" totalsRowDxfId="251"/>
    <tableColumn id="12" xr3:uid="{D2689BC0-FE51-1C4F-BEFD-AB4DACE89943}" name="2022" totalsRowFunction="sum" dataDxfId="250" totalsRowDxfId="249" dataCellStyle="Comma"/>
    <tableColumn id="2" xr3:uid="{6A567BA1-6DE6-8348-8535-A146D583581C}" name="2023" totalsRowFunction="sum" dataDxfId="248" totalsRowDxfId="247" dataCellStyle="Comma"/>
    <tableColumn id="3" xr3:uid="{40543FAE-4431-7141-91FF-6CA497E19814}" name="2024" totalsRowFunction="sum" dataDxfId="246" totalsRowDxfId="245" dataCellStyle="Comma"/>
    <tableColumn id="4" xr3:uid="{5F9F5E8A-DEB0-1240-8A75-FA8B64F35675}" name="2025" totalsRowFunction="sum" dataDxfId="244" totalsRowDxfId="243" dataCellStyle="Comma"/>
    <tableColumn id="5" xr3:uid="{376D47ED-3CE1-6040-9561-9EFFF63DE629}" name="2026" totalsRowFunction="sum" dataDxfId="242" totalsRowDxfId="241" dataCellStyle="Comma"/>
    <tableColumn id="6" xr3:uid="{5902029A-D689-CB43-9DD3-888C62F95D64}" name="2027" totalsRowFunction="sum" dataDxfId="240" totalsRowDxfId="239" dataCellStyle="Comma"/>
    <tableColumn id="7" xr3:uid="{DEFF5695-DFAA-0C42-B996-7914A6534765}" name="2028" totalsRowFunction="sum" dataDxfId="238" totalsRowDxfId="237" dataCellStyle="Comma"/>
    <tableColumn id="8" xr3:uid="{DA964F6B-FAD7-074D-AFFE-A731AC6A5ADF}" name="2029" totalsRowFunction="sum" dataDxfId="236" totalsRowDxfId="235" dataCellStyle="Comma"/>
    <tableColumn id="9" xr3:uid="{8011E7A7-6FB4-1344-B606-557A75FC6E3E}" name="2030" totalsRowFunction="sum" dataDxfId="234" totalsRowDxfId="233" dataCellStyle="Comma"/>
    <tableColumn id="10" xr3:uid="{9EF28CD6-825D-E24F-8E30-EFD6674D59E1}" name="2031" totalsRowFunction="sum" dataDxfId="232" totalsRowDxfId="231" dataCellStyle="Comma"/>
    <tableColumn id="11" xr3:uid="{30CA743D-2942-4544-9A3E-BC18F898D37D}" name="2032" totalsRowFunction="sum" dataDxfId="230" totalsRowDxfId="229" dataCellStyle="Comma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727DF7-F97B-9146-82F5-0C89D01DB7D2}" name="Table367" displayName="Table367" ref="B3:P5" headerRowDxfId="228" dataDxfId="227" totalsRowDxfId="226" dataCellStyle="Comma">
  <autoFilter ref="B3:P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99F340BB-11FC-2C48-B69C-142164A888EA}" name="Produk" totalsRowLabel="Total" dataDxfId="225"/>
    <tableColumn id="2" xr3:uid="{2B1CCD52-0B57-AE43-9C86-45DD61C25858}" name="2019" totalsRowFunction="sum" dataDxfId="224" dataCellStyle="Comma">
      <calculatedColumnFormula>$C$13</calculatedColumnFormula>
    </tableColumn>
    <tableColumn id="3" xr3:uid="{B3959DCD-8B88-6743-B7BD-90FB273FDD75}" name="2020" totalsRowFunction="sum" dataDxfId="223" totalsRowDxfId="222" dataCellStyle="Comma">
      <calculatedColumnFormula>$C$13</calculatedColumnFormula>
    </tableColumn>
    <tableColumn id="4" xr3:uid="{5C2B67C1-E6FB-C342-8D11-D84155D57722}" name="2021" totalsRowFunction="sum" dataDxfId="221" totalsRowDxfId="220" dataCellStyle="Comma">
      <calculatedColumnFormula>$C$13</calculatedColumnFormula>
    </tableColumn>
    <tableColumn id="5" xr3:uid="{BD4B3AD5-EF20-2E41-AAE9-C449FBE6EBED}" name="2022" totalsRowFunction="sum" dataDxfId="219" totalsRowDxfId="218" dataCellStyle="Comma">
      <calculatedColumnFormula>$C$13</calculatedColumnFormula>
    </tableColumn>
    <tableColumn id="6" xr3:uid="{0BCB1F53-3AFA-9248-B92C-FD192EA39765}" name="2023" totalsRowFunction="sum" dataDxfId="217" dataCellStyle="Comma">
      <calculatedColumnFormula>$C$17</calculatedColumnFormula>
    </tableColumn>
    <tableColumn id="7" xr3:uid="{619BD53B-7FEB-E244-8BE1-662D18A71EC8}" name="2024" dataDxfId="216" totalsRowDxfId="215" dataCellStyle="Comma">
      <calculatedColumnFormula>$C$17</calculatedColumnFormula>
    </tableColumn>
    <tableColumn id="8" xr3:uid="{C2DAE3E4-F421-2646-9C3B-D49B961BFAE8}" name="2025" dataDxfId="214" totalsRowDxfId="213" dataCellStyle="Comma">
      <calculatedColumnFormula>$C$17</calculatedColumnFormula>
    </tableColumn>
    <tableColumn id="9" xr3:uid="{86937C3C-E018-DD45-AC99-F0436F21D37E}" name="2026" dataDxfId="212" totalsRowDxfId="211" dataCellStyle="Comma">
      <calculatedColumnFormula>$C$17</calculatedColumnFormula>
    </tableColumn>
    <tableColumn id="10" xr3:uid="{0ED2701F-7272-7F4F-BDAC-5A0B36F34735}" name="2027" dataDxfId="210" totalsRowDxfId="209" dataCellStyle="Comma">
      <calculatedColumnFormula>$C$17</calculatedColumnFormula>
    </tableColumn>
    <tableColumn id="11" xr3:uid="{924953E8-0B08-084C-88A4-2E9D4ED12687}" name="2028" dataDxfId="208" totalsRowDxfId="207" dataCellStyle="Comma">
      <calculatedColumnFormula>$C$17</calculatedColumnFormula>
    </tableColumn>
    <tableColumn id="12" xr3:uid="{CEC3F315-2D2D-2E49-86D2-AC75553FF7CC}" name="2029" dataDxfId="206" totalsRowDxfId="205" dataCellStyle="Comma">
      <calculatedColumnFormula>$C$17</calculatedColumnFormula>
    </tableColumn>
    <tableColumn id="13" xr3:uid="{3E32D8D0-438C-544C-AE07-B7766903BA6C}" name="2030" dataDxfId="204" totalsRowDxfId="203" dataCellStyle="Comma">
      <calculatedColumnFormula>$C$17</calculatedColumnFormula>
    </tableColumn>
    <tableColumn id="14" xr3:uid="{253B6EAB-1714-D944-9EC6-E76956CEEA2E}" name="2031" dataDxfId="202" totalsRowDxfId="201" dataCellStyle="Comma">
      <calculatedColumnFormula>$C$17</calculatedColumnFormula>
    </tableColumn>
    <tableColumn id="15" xr3:uid="{5944E335-1D68-4F4D-9F09-0FF522318C19}" name="2032" dataDxfId="200" totalsRowDxfId="199" dataCellStyle="Comma">
      <calculatedColumnFormula>$C$17</calculatedColumnFormula>
    </tableColumn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C4A74E-3C42-A747-9006-8829BF142A68}" name="Table36712" displayName="Table36712" ref="B3:P5" headerRowDxfId="198" dataDxfId="197" totalsRowDxfId="196" dataCellStyle="Comma">
  <autoFilter ref="B3:P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BFD87E0-307E-A346-9C12-D59589250C88}" name="Produk" totalsRowLabel="Total" dataDxfId="195"/>
    <tableColumn id="2" xr3:uid="{968525AF-9A75-2E44-BD06-AB6B9951BB35}" name="2019" totalsRowFunction="sum" dataDxfId="194" totalsRowDxfId="193" dataCellStyle="Comma">
      <calculatedColumnFormula>#REF!</calculatedColumnFormula>
    </tableColumn>
    <tableColumn id="3" xr3:uid="{77B1E53B-BEFB-A94B-B3A4-961E7F2EDB56}" name="2020" totalsRowFunction="sum" dataDxfId="192" totalsRowDxfId="191" dataCellStyle="Comma">
      <calculatedColumnFormula>#REF!</calculatedColumnFormula>
    </tableColumn>
    <tableColumn id="4" xr3:uid="{96632A6A-B9AD-F349-B2A8-AF5BB8455E0D}" name="2021" totalsRowFunction="sum" dataDxfId="190" totalsRowDxfId="189" dataCellStyle="Comma">
      <calculatedColumnFormula>#REF!</calculatedColumnFormula>
    </tableColumn>
    <tableColumn id="5" xr3:uid="{FF7AB7B8-0072-BC40-AF54-9293570E7C76}" name="2022" totalsRowFunction="sum" dataDxfId="188" totalsRowDxfId="187" dataCellStyle="Comma">
      <calculatedColumnFormula>#REF!</calculatedColumnFormula>
    </tableColumn>
    <tableColumn id="6" xr3:uid="{5DD61822-2AB9-3149-BF22-B919056AABCB}" name="2023" totalsRowFunction="sum" dataDxfId="186" dataCellStyle="Comma">
      <calculatedColumnFormula>#REF!</calculatedColumnFormula>
    </tableColumn>
    <tableColumn id="7" xr3:uid="{3773122B-9B13-084F-B2AF-167F2BD53E5E}" name="2024" dataDxfId="185" totalsRowDxfId="184" dataCellStyle="Comma">
      <calculatedColumnFormula>#REF!</calculatedColumnFormula>
    </tableColumn>
    <tableColumn id="8" xr3:uid="{E69D5601-AC96-A14E-920B-763C0145CB77}" name="2025" dataDxfId="183" totalsRowDxfId="182" dataCellStyle="Comma">
      <calculatedColumnFormula>#REF!</calculatedColumnFormula>
    </tableColumn>
    <tableColumn id="9" xr3:uid="{18DB03C9-598D-F249-B274-D3EF93826CC5}" name="2026" dataDxfId="181" totalsRowDxfId="180" dataCellStyle="Comma">
      <calculatedColumnFormula>#REF!</calculatedColumnFormula>
    </tableColumn>
    <tableColumn id="10" xr3:uid="{8D797980-B65E-A648-AA40-32BC96023834}" name="2027" dataDxfId="179" totalsRowDxfId="178" dataCellStyle="Comma">
      <calculatedColumnFormula>#REF!</calculatedColumnFormula>
    </tableColumn>
    <tableColumn id="11" xr3:uid="{851A9367-4BAD-9E48-BC90-556E33B13381}" name="2028" dataDxfId="177" totalsRowDxfId="176" dataCellStyle="Comma">
      <calculatedColumnFormula>#REF!</calculatedColumnFormula>
    </tableColumn>
    <tableColumn id="12" xr3:uid="{8FF7E486-9DA2-624E-BE69-F34407DB907C}" name="2029" dataDxfId="175" totalsRowDxfId="174" dataCellStyle="Comma">
      <calculatedColumnFormula>#REF!</calculatedColumnFormula>
    </tableColumn>
    <tableColumn id="13" xr3:uid="{10581223-ACA5-C44A-93A3-C7BB88D90041}" name="2030" dataDxfId="173" totalsRowDxfId="172" dataCellStyle="Comma">
      <calculatedColumnFormula>#REF!</calculatedColumnFormula>
    </tableColumn>
    <tableColumn id="14" xr3:uid="{FD519FB0-316F-794B-B2D5-6EC639574CCC}" name="2031" dataDxfId="171" totalsRowDxfId="170" dataCellStyle="Comma">
      <calculatedColumnFormula>#REF!</calculatedColumnFormula>
    </tableColumn>
    <tableColumn id="15" xr3:uid="{EF1B48BD-4B23-C048-984F-969A36EC6CE1}" name="2032" dataDxfId="169" totalsRowDxfId="168" dataCellStyle="Comma">
      <calculatedColumnFormula>#REF!</calculatedColumnFormula>
    </tableColumn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6BE8819-74EF-0243-83D9-EC696A1D351F}" name="Table3671213" displayName="Table3671213" ref="B8:P10" headerRowDxfId="167" dataDxfId="166" totalsRowDxfId="165" dataCellStyle="Comma">
  <autoFilter ref="B8:P10" xr:uid="{E6BE8819-74EF-0243-83D9-EC696A1D351F}"/>
  <tableColumns count="15">
    <tableColumn id="1" xr3:uid="{D0D2885A-4D5E-4E46-B852-6808DA59D313}" name="Produk" totalsRowLabel="Total" dataDxfId="164"/>
    <tableColumn id="2" xr3:uid="{1CB01F6E-B1ED-D64D-B0BD-23E3E53023F6}" name="2019" totalsRowFunction="sum" dataDxfId="163" totalsRowDxfId="162" dataCellStyle="Comma">
      <calculatedColumnFormula>#REF!</calculatedColumnFormula>
    </tableColumn>
    <tableColumn id="3" xr3:uid="{DCB192C3-91DC-3E45-AEC4-E3D2C137A2D5}" name="2020" totalsRowFunction="sum" dataDxfId="161" totalsRowDxfId="160" dataCellStyle="Comma">
      <calculatedColumnFormula>#REF!</calculatedColumnFormula>
    </tableColumn>
    <tableColumn id="4" xr3:uid="{E6C180DE-2772-2441-93FB-B7588E5B6492}" name="2021" totalsRowFunction="sum" dataDxfId="159" totalsRowDxfId="158" dataCellStyle="Comma">
      <calculatedColumnFormula>#REF!</calculatedColumnFormula>
    </tableColumn>
    <tableColumn id="5" xr3:uid="{469CD3CF-6462-744C-8BAC-E6F03647D632}" name="2022" totalsRowFunction="sum" dataDxfId="157" totalsRowDxfId="156" dataCellStyle="Comma">
      <calculatedColumnFormula>#REF!</calculatedColumnFormula>
    </tableColumn>
    <tableColumn id="6" xr3:uid="{7F9C2994-4595-BC48-95E7-29BC35B73576}" name="2023" totalsRowFunction="sum" dataDxfId="155" dataCellStyle="Comma">
      <calculatedColumnFormula>#REF!</calculatedColumnFormula>
    </tableColumn>
    <tableColumn id="7" xr3:uid="{8B6255D9-4CA7-434B-A5E8-FBACB2C83FDD}" name="2024" dataDxfId="154" totalsRowDxfId="153" dataCellStyle="Comma">
      <calculatedColumnFormula>#REF!</calculatedColumnFormula>
    </tableColumn>
    <tableColumn id="8" xr3:uid="{F160CBDA-6556-D34B-AFEF-9A4DA3F946CA}" name="2025" dataDxfId="152" totalsRowDxfId="151" dataCellStyle="Comma">
      <calculatedColumnFormula>#REF!</calculatedColumnFormula>
    </tableColumn>
    <tableColumn id="9" xr3:uid="{79196D24-F3A6-5F45-ACB0-1B5911C1DAA0}" name="2026" dataDxfId="150" totalsRowDxfId="149" dataCellStyle="Comma">
      <calculatedColumnFormula>#REF!</calculatedColumnFormula>
    </tableColumn>
    <tableColumn id="10" xr3:uid="{3A202091-9A8A-F349-AFAC-D3575E626EFF}" name="2027" dataDxfId="148" totalsRowDxfId="147" dataCellStyle="Comma">
      <calculatedColumnFormula>#REF!</calculatedColumnFormula>
    </tableColumn>
    <tableColumn id="11" xr3:uid="{43710266-79F5-7448-ACB8-EA6AF60CF213}" name="2028" dataDxfId="146" totalsRowDxfId="145" dataCellStyle="Comma">
      <calculatedColumnFormula>#REF!</calculatedColumnFormula>
    </tableColumn>
    <tableColumn id="12" xr3:uid="{4D0F16A8-89B3-9941-B93B-FECD100FF689}" name="2029" dataDxfId="144" totalsRowDxfId="143" dataCellStyle="Comma">
      <calculatedColumnFormula>#REF!</calculatedColumnFormula>
    </tableColumn>
    <tableColumn id="13" xr3:uid="{6D5B7FE3-4080-6944-BA37-48AE65C1E6B7}" name="2030" dataDxfId="142" totalsRowDxfId="141" dataCellStyle="Comma">
      <calculatedColumnFormula>#REF!</calculatedColumnFormula>
    </tableColumn>
    <tableColumn id="14" xr3:uid="{53FC9BDF-6F34-4444-9FB2-388FA7A90D9D}" name="2031" dataDxfId="140" totalsRowDxfId="139" dataCellStyle="Comma">
      <calculatedColumnFormula>#REF!</calculatedColumnFormula>
    </tableColumn>
    <tableColumn id="15" xr3:uid="{761F26F3-7DA1-C04C-836A-10D25F8EBECB}" name="2032" dataDxfId="138" totalsRowDxfId="137" dataCellStyle="Comma">
      <calculatedColumnFormula>#REF!</calculatedColumnFormula>
    </tableColumn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F473109-AB90-2849-8845-1716835FF166}" name="Table36710" displayName="Table36710" ref="B3:P5" headerRowDxfId="136" dataDxfId="135" totalsRowDxfId="134" dataCellStyle="Comma">
  <autoFilter ref="B3:P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6430FCAC-20A0-D747-85F5-8F09948DD449}" name="Produk" totalsRowLabel="Total" dataDxfId="133"/>
    <tableColumn id="2" xr3:uid="{BF9FD117-9D89-6545-A8DD-0203102DDDAC}" name="2019" totalsRowFunction="sum" dataDxfId="132" totalsRowDxfId="131" dataCellStyle="Comma">
      <calculatedColumnFormula>#REF!</calculatedColumnFormula>
    </tableColumn>
    <tableColumn id="3" xr3:uid="{2818C4A9-7E04-0B46-95F9-DE5A3B3080A5}" name="2020" totalsRowFunction="sum" dataDxfId="130" totalsRowDxfId="129" dataCellStyle="Comma">
      <calculatedColumnFormula>#REF!</calculatedColumnFormula>
    </tableColumn>
    <tableColumn id="4" xr3:uid="{CA0DEA62-D652-F241-9090-9124BB9D4F97}" name="2021" totalsRowFunction="sum" dataDxfId="128" totalsRowDxfId="127" dataCellStyle="Comma">
      <calculatedColumnFormula>#REF!</calculatedColumnFormula>
    </tableColumn>
    <tableColumn id="5" xr3:uid="{B4FF4845-3D08-7646-9D46-E1C192E017C8}" name="2022" totalsRowFunction="sum" dataDxfId="126" totalsRowDxfId="125" dataCellStyle="Comma">
      <calculatedColumnFormula>#REF!</calculatedColumnFormula>
    </tableColumn>
    <tableColumn id="6" xr3:uid="{F37F8168-78DB-294A-BE79-CEFAF8321122}" name="2023" totalsRowFunction="sum" dataDxfId="124" dataCellStyle="Comma">
      <calculatedColumnFormula>#REF!</calculatedColumnFormula>
    </tableColumn>
    <tableColumn id="7" xr3:uid="{313A481D-E690-5E40-9356-32C8A89361D8}" name="2024" dataDxfId="123" totalsRowDxfId="122" dataCellStyle="Comma">
      <calculatedColumnFormula>#REF!</calculatedColumnFormula>
    </tableColumn>
    <tableColumn id="8" xr3:uid="{BEDFD046-BF60-8547-8C20-D084BA6D3A8F}" name="2025" dataDxfId="121" totalsRowDxfId="120" dataCellStyle="Comma">
      <calculatedColumnFormula>#REF!</calculatedColumnFormula>
    </tableColumn>
    <tableColumn id="9" xr3:uid="{93344613-7617-C24D-8D5D-C6205EDB39C0}" name="2026" dataDxfId="119" totalsRowDxfId="118" dataCellStyle="Comma">
      <calculatedColumnFormula>#REF!</calculatedColumnFormula>
    </tableColumn>
    <tableColumn id="10" xr3:uid="{A1141682-AB8B-4045-93AA-7AF20DD95FCF}" name="2027" dataDxfId="117" totalsRowDxfId="116" dataCellStyle="Comma">
      <calculatedColumnFormula>#REF!</calculatedColumnFormula>
    </tableColumn>
    <tableColumn id="11" xr3:uid="{848922CD-D37A-784E-B406-FF7DB6A3FFD9}" name="2028" dataDxfId="115" totalsRowDxfId="114" dataCellStyle="Comma">
      <calculatedColumnFormula>#REF!</calculatedColumnFormula>
    </tableColumn>
    <tableColumn id="12" xr3:uid="{D6840AD2-CB80-424A-9FC0-F598D076488C}" name="2029" dataDxfId="113" totalsRowDxfId="112" dataCellStyle="Comma">
      <calculatedColumnFormula>#REF!</calculatedColumnFormula>
    </tableColumn>
    <tableColumn id="13" xr3:uid="{3FC5F7F1-EFBB-6B42-B020-BD479DDEF54C}" name="2030" dataDxfId="111" totalsRowDxfId="110" dataCellStyle="Comma">
      <calculatedColumnFormula>#REF!</calculatedColumnFormula>
    </tableColumn>
    <tableColumn id="14" xr3:uid="{59B3D745-E99A-C048-91B4-C30EE30FE030}" name="2031" dataDxfId="109" totalsRowDxfId="108" dataCellStyle="Comma">
      <calculatedColumnFormula>#REF!</calculatedColumnFormula>
    </tableColumn>
    <tableColumn id="15" xr3:uid="{E7C7A760-9A50-EF4E-9F9A-04F5939B53B3}" name="2032" dataDxfId="107" totalsRowDxfId="106" dataCellStyle="Comma">
      <calculatedColumnFormula>#REF!</calculatedColumnFormula>
    </tableColumn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3ABCF1-FE08-0748-954C-3FA531C01C9E}" name="Table36" displayName="Table36" ref="B3:P4" headerRowDxfId="105" dataDxfId="104" totalsRowDxfId="103" dataCellStyle="Comma">
  <autoFilter ref="B3:P4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8B6C45A-2B52-9F4A-B0F3-F9786673BA63}" name="Produk" totalsRowLabel="Total" dataDxfId="102"/>
    <tableColumn id="2" xr3:uid="{0FE0173E-4A0A-C040-A5BF-13AFD6F74E10}" name="2019" totalsRowFunction="sum" dataDxfId="101" totalsRowDxfId="100" dataCellStyle="Comma"/>
    <tableColumn id="3" xr3:uid="{AA2A7934-1ED5-1841-9585-036B084CAE84}" name="2020" totalsRowFunction="sum" dataDxfId="99" totalsRowDxfId="98" dataCellStyle="Comma"/>
    <tableColumn id="4" xr3:uid="{513FEEBB-6A8F-574A-8F63-64E55E4DB319}" name="2021" totalsRowFunction="sum" dataDxfId="97" totalsRowDxfId="96" dataCellStyle="Comma"/>
    <tableColumn id="5" xr3:uid="{BED0975A-DF8E-C54C-B0E5-F85B60CA1335}" name="2022" totalsRowFunction="sum" dataDxfId="95" totalsRowDxfId="94" dataCellStyle="Comma"/>
    <tableColumn id="6" xr3:uid="{AB8F1B16-FC68-774A-B5DD-4EE17748FA9B}" name="2023" totalsRowFunction="sum" dataDxfId="93" totalsRowDxfId="92" dataCellStyle="Comma">
      <calculatedColumnFormula>16399663023.4286+1300000000</calculatedColumnFormula>
    </tableColumn>
    <tableColumn id="7" xr3:uid="{D2F57DD7-6B8F-444D-A81B-D11878E66625}" name="2024" dataDxfId="91" totalsRowDxfId="90" dataCellStyle="Comma">
      <calculatedColumnFormula>Table36[[#This Row],[2023]]+(H2-G2)*100*$H$9</calculatedColumnFormula>
    </tableColumn>
    <tableColumn id="8" xr3:uid="{1F02D350-400D-8F4D-B198-B879C4D29351}" name="2025" dataDxfId="89" totalsRowDxfId="88" dataCellStyle="Comma">
      <calculatedColumnFormula>Table36[[#This Row],[2024]]+(I2-H2)*100*$H$9</calculatedColumnFormula>
    </tableColumn>
    <tableColumn id="9" xr3:uid="{7B59BB08-B683-F54E-8520-C0BE68887345}" name="2026" dataDxfId="87" totalsRowDxfId="86" dataCellStyle="Comma">
      <calculatedColumnFormula>Table36[[#This Row],[2025]]+(J2-I2)*100*$H$9</calculatedColumnFormula>
    </tableColumn>
    <tableColumn id="10" xr3:uid="{E67B878D-18EA-7548-9411-AA947352680D}" name="2027" dataDxfId="85" totalsRowDxfId="84" dataCellStyle="Comma">
      <calculatedColumnFormula>Table36[[#This Row],[2026]]+(K2-J2)*100*$H$9</calculatedColumnFormula>
    </tableColumn>
    <tableColumn id="11" xr3:uid="{909164A4-A24D-FC4A-85E7-81ADE8AE50D2}" name="2028" dataDxfId="83" totalsRowDxfId="82" dataCellStyle="Comma">
      <calculatedColumnFormula>Table36[[#This Row],[2027]]+(L2-K2)*100*$H$9</calculatedColumnFormula>
    </tableColumn>
    <tableColumn id="12" xr3:uid="{AA2289B0-A74F-F047-9745-BBDFD3F7D472}" name="2029" dataDxfId="81" totalsRowDxfId="80" dataCellStyle="Comma">
      <calculatedColumnFormula>Table36[[#This Row],[2028]]+(M2-L2)*100*$H$9</calculatedColumnFormula>
    </tableColumn>
    <tableColumn id="13" xr3:uid="{5A77795F-5802-6049-BD3D-E5F2DC4167E7}" name="2030" dataDxfId="79" totalsRowDxfId="78" dataCellStyle="Comma">
      <calculatedColumnFormula>Table36[[#This Row],[2029]]+(N2-M2)*100*$H$9</calculatedColumnFormula>
    </tableColumn>
    <tableColumn id="14" xr3:uid="{91BF1624-0775-4B4D-AEB5-F4CCE8DFB0BD}" name="2031" dataDxfId="77" totalsRowDxfId="76" dataCellStyle="Comma">
      <calculatedColumnFormula>Table36[[#This Row],[2030]]+(O2-N2)*100*$H$9</calculatedColumnFormula>
    </tableColumn>
    <tableColumn id="15" xr3:uid="{724851DA-4475-6F4C-B969-ADA0E125A99B}" name="2032" dataDxfId="75" totalsRowDxfId="74" dataCellStyle="Comma">
      <calculatedColumnFormula>Table36[[#This Row],[2031]]+(P2-O2)*100*$H$9</calculatedColumnFormula>
    </tableColumn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812B4D9-0275-0B41-9591-9D0DF8BF194E}" name="Table7" displayName="Table7" ref="G8:H9" totalsRowShown="0" headerRowDxfId="73" dataDxfId="72">
  <autoFilter ref="G8:H9" xr:uid="{E812B4D9-0275-0B41-9591-9D0DF8BF194E}">
    <filterColumn colId="0" hiddenButton="1"/>
    <filterColumn colId="1" hiddenButton="1"/>
  </autoFilter>
  <tableColumns count="2">
    <tableColumn id="1" xr3:uid="{148F11F0-DF7D-5F47-A179-57908E691920}" name="2.35%" dataDxfId="71">
      <calculatedColumnFormula array="1">Table36[2023]-Table36[2022]</calculatedColumnFormula>
    </tableColumn>
    <tableColumn id="2" xr3:uid="{A1A7ADBB-EEE7-B44F-8642-79DB0BA2C9B2}" name="1%" dataDxfId="70">
      <calculatedColumnFormula>G9/(G8*100)</calculatedColumnFormula>
    </tableColumn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0280A8-10F6-B84E-AFAB-5A8BAB02AAF6}" name="Table3" displayName="Table3" ref="B3:P10" totalsRowCount="1" headerRowDxfId="69" dataDxfId="68" totalsRowDxfId="67" dataCellStyle="Comma">
  <autoFilter ref="B3:P9" xr:uid="{AA0280A8-10F6-B84E-AFAB-5A8BAB02AAF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B434975C-754F-5441-8944-9D99F067F04D}" name="Produk" totalsRowLabel="Total" dataDxfId="66" totalsRowDxfId="65"/>
    <tableColumn id="15" xr3:uid="{8E5BD366-1155-CE49-BBB4-3F27339B0B75}" name="2019" dataDxfId="64" totalsRowDxfId="63"/>
    <tableColumn id="14" xr3:uid="{FB0FC5E1-B965-6742-807F-7E3890DBDC3F}" name="2020" dataDxfId="62" totalsRowDxfId="61"/>
    <tableColumn id="13" xr3:uid="{794A7C86-2D33-554F-9012-765C40A5C94A}" name="2021" dataDxfId="60" totalsRowDxfId="59"/>
    <tableColumn id="2" xr3:uid="{72BB7C90-7123-8548-AD32-67D10EFB4941}" name="2022" totalsRowFunction="sum" dataDxfId="58" totalsRowDxfId="57" dataCellStyle="Comma"/>
    <tableColumn id="3" xr3:uid="{D1916A1A-7235-5944-952D-C5B2D3DDE06E}" name="2023" totalsRowFunction="sum" dataDxfId="56" totalsRowDxfId="55" dataCellStyle="Comma"/>
    <tableColumn id="4" xr3:uid="{DCCF41AD-21FF-E24A-BBC9-25283DF564ED}" name="2024" totalsRowFunction="sum" dataDxfId="54" totalsRowDxfId="53" dataCellStyle="Comma"/>
    <tableColumn id="5" xr3:uid="{2D2438E8-19A3-DC49-8708-643DF91EF6CA}" name="2025" totalsRowFunction="sum" dataDxfId="52" totalsRowDxfId="51" dataCellStyle="Comma"/>
    <tableColumn id="6" xr3:uid="{D2DA396E-5667-2944-A522-E55C0615C95B}" name="2026" totalsRowFunction="sum" dataDxfId="50" totalsRowDxfId="49" dataCellStyle="Comma"/>
    <tableColumn id="7" xr3:uid="{EDE1AE77-74CD-4C4A-AB30-33B40B187F4D}" name="2027" totalsRowFunction="custom" dataDxfId="48" totalsRowDxfId="47" dataCellStyle="Comma">
      <totalsRowFormula>Table3[[#Totals],[2026]]+K12</totalsRowFormula>
    </tableColumn>
    <tableColumn id="8" xr3:uid="{E3A4E7A4-9B95-9C45-AD94-5E313CD83314}" name="2028" totalsRowFunction="custom" dataDxfId="46" totalsRowDxfId="45" dataCellStyle="Comma">
      <totalsRowFormula>Table3[[#Totals],[2027]]+L12</totalsRowFormula>
    </tableColumn>
    <tableColumn id="9" xr3:uid="{5396A41B-238E-934A-B88C-05665FF32EAB}" name="2029" totalsRowFunction="custom" dataDxfId="44" totalsRowDxfId="43" dataCellStyle="Comma">
      <totalsRowFormula>Table3[[#Totals],[2028]]+M12</totalsRowFormula>
    </tableColumn>
    <tableColumn id="10" xr3:uid="{4B95DC7B-03C0-554B-8874-CA493F12F898}" name="2030" totalsRowFunction="custom" dataDxfId="42" totalsRowDxfId="41" dataCellStyle="Comma">
      <totalsRowFormula>Table3[[#Totals],[2029]]+N12</totalsRowFormula>
    </tableColumn>
    <tableColumn id="11" xr3:uid="{7AFBF0D8-EFCB-BD40-9797-A8DA640BE121}" name="2031" totalsRowFunction="custom" dataDxfId="40" totalsRowDxfId="39" dataCellStyle="Comma">
      <totalsRowFormula>Table3[[#Totals],[2030]]+O12</totalsRowFormula>
    </tableColumn>
    <tableColumn id="12" xr3:uid="{F50F8622-B86E-DE4B-8344-97514986A226}" name="2032" totalsRowFunction="custom" dataDxfId="38" totalsRowDxfId="37" dataCellStyle="Comma">
      <totalsRowFormula>Table3[[#Totals],[2031]]+P12</totalsRowFormula>
    </tableColumn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1A9F8E-E811-6C41-A2C0-889C04640E30}" name="Table4" displayName="Table4" ref="B3:P8" totalsRowCount="1" headerRowDxfId="36" dataDxfId="35" totalsRowDxfId="34">
  <autoFilter ref="B3:P7" xr:uid="{661A9F8E-E811-6C41-A2C0-889C04640E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7D68DC3-C711-5040-B376-B5F51979E29B}" name="Produk" totalsRowLabel="Total" dataDxfId="33" totalsRowDxfId="32"/>
    <tableColumn id="15" xr3:uid="{968DDC5B-E089-D843-A52D-7172723D8D2A}" name="2019" dataDxfId="31" totalsRowDxfId="30"/>
    <tableColumn id="14" xr3:uid="{78BB3794-9BF6-8D40-9094-953658171EEA}" name="2020" dataDxfId="29" totalsRowDxfId="28"/>
    <tableColumn id="13" xr3:uid="{A8272FC9-0AD5-BF4D-989E-3C102689BF68}" name="2021" dataDxfId="27" totalsRowDxfId="26"/>
    <tableColumn id="2" xr3:uid="{B4B4FEAA-CB59-9346-9F47-FF72671E2EE8}" name="2022" totalsRowFunction="sum" dataDxfId="25" totalsRowDxfId="24" dataCellStyle="Comma"/>
    <tableColumn id="3" xr3:uid="{231FA472-4B76-4041-8A73-8F9C4AEBBE8F}" name="2023" totalsRowFunction="sum" dataDxfId="23" totalsRowDxfId="22" dataCellStyle="Comma"/>
    <tableColumn id="4" xr3:uid="{2E117CD9-E0EC-D746-814E-EC6AAAC8290B}" name="2024" totalsRowFunction="custom" dataDxfId="21" totalsRowDxfId="20">
      <totalsRowFormula>Table4[[#Totals],[2023]]+(H2-G2)*100*$I$11</totalsRowFormula>
    </tableColumn>
    <tableColumn id="5" xr3:uid="{F927B8CF-7FCD-114C-9E2D-B44F29CFF80D}" name="2025" totalsRowFunction="custom" dataDxfId="19" totalsRowDxfId="18">
      <totalsRowFormula>Table4[[#Totals],[2024]]+(I2-H2)*100*$I$11</totalsRowFormula>
    </tableColumn>
    <tableColumn id="6" xr3:uid="{07104418-C75B-EE40-9CDC-49C0D474463F}" name="2026" totalsRowFunction="custom" dataDxfId="17" totalsRowDxfId="16">
      <totalsRowFormula>Table4[[#Totals],[2025]]+(J2-I2)*100*$I$11</totalsRowFormula>
    </tableColumn>
    <tableColumn id="7" xr3:uid="{DD42A9E1-1AC5-A249-A036-872FCF3A21BF}" name="2027" totalsRowFunction="custom" dataDxfId="15" totalsRowDxfId="14">
      <totalsRowFormula>Table4[[#Totals],[2026]]+(K2-J2)*100*$I$11</totalsRowFormula>
    </tableColumn>
    <tableColumn id="8" xr3:uid="{BB3B38F4-7B6D-4A4B-A663-5855598CB7D4}" name="2028" totalsRowFunction="custom" dataDxfId="13" totalsRowDxfId="12">
      <totalsRowFormula>Table4[[#Totals],[2027]]+(L2-K2)*100*$I$11</totalsRowFormula>
    </tableColumn>
    <tableColumn id="9" xr3:uid="{9F83B130-E9C9-904F-89DD-F5CF18D1A800}" name="2029" totalsRowFunction="custom" dataDxfId="11" totalsRowDxfId="10">
      <totalsRowFormula>Table4[[#Totals],[2028]]+(M2-L2)*100*$I$11</totalsRowFormula>
    </tableColumn>
    <tableColumn id="10" xr3:uid="{61DE65DA-614C-5D46-9E42-B760A7726F49}" name="2030" totalsRowFunction="custom" dataDxfId="9" totalsRowDxfId="8">
      <totalsRowFormula>Table4[[#Totals],[2029]]+(N2-M2)*100*$I$11</totalsRowFormula>
    </tableColumn>
    <tableColumn id="11" xr3:uid="{F9EEB720-D487-8B44-9A5E-608CDE69A8E5}" name="2031" totalsRowFunction="custom" dataDxfId="7" totalsRowDxfId="6">
      <totalsRowFormula>Table4[[#Totals],[2030]]+(O2-N2)*100*$I$11</totalsRowFormula>
    </tableColumn>
    <tableColumn id="12" xr3:uid="{BC9CD56F-EA9F-9B44-89E9-D5ADAD5581E1}" name="2032" totalsRowFunction="custom" dataDxfId="5" totalsRowDxfId="4">
      <totalsRowFormula>Table4[[#Totals],[2031]]+(P2-O2)*100*$I$11</totalsRowFormula>
    </tableColumn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641AB30-8712-0E4C-81D4-86E531C2B479}" name="Table8" displayName="Table8" ref="H10:I11" totalsRowShown="0" headerRowDxfId="3" dataDxfId="2">
  <autoFilter ref="H10:I11" xr:uid="{B641AB30-8712-0E4C-81D4-86E531C2B479}">
    <filterColumn colId="0" hiddenButton="1"/>
    <filterColumn colId="1" hiddenButton="1"/>
  </autoFilter>
  <tableColumns count="2">
    <tableColumn id="1" xr3:uid="{65DFC2D3-6A20-C24D-8C3C-769903C381DA}" name="2.35%" dataDxfId="1">
      <calculatedColumnFormula>Table4[[#Totals],[2023]]-Table4[[#Totals],[2022]]</calculatedColumnFormula>
    </tableColumn>
    <tableColumn id="2" xr3:uid="{BD08AFDC-A92D-1848-A18B-79184B6FFB70}" name="1%" dataDxfId="0">
      <calculatedColumnFormula>H11/(H10*100)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BDCFE-F0B0-424D-99D0-3D8063A7FB85}">
  <sheetPr>
    <pageSetUpPr fitToPage="1"/>
  </sheetPr>
  <dimension ref="B2:N39"/>
  <sheetViews>
    <sheetView showGridLines="0" zoomScale="141" zoomScaleNormal="80" workbookViewId="0">
      <selection activeCell="C19" sqref="C19:M19"/>
    </sheetView>
  </sheetViews>
  <sheetFormatPr baseColWidth="10" defaultColWidth="11" defaultRowHeight="16" x14ac:dyDescent="0.2"/>
  <cols>
    <col min="1" max="1" width="11" style="1"/>
    <col min="2" max="2" width="13.33203125" style="1" customWidth="1"/>
    <col min="3" max="12" width="17.83203125" style="8" customWidth="1"/>
    <col min="13" max="13" width="17.83203125" style="1" customWidth="1"/>
    <col min="14" max="16384" width="11" style="1"/>
  </cols>
  <sheetData>
    <row r="2" spans="2:14" x14ac:dyDescent="0.2">
      <c r="B2" s="25" t="s">
        <v>63</v>
      </c>
      <c r="C2" s="26" t="s">
        <v>45</v>
      </c>
      <c r="D2" s="27" t="s">
        <v>9</v>
      </c>
      <c r="E2" s="27" t="s">
        <v>10</v>
      </c>
      <c r="F2" s="27" t="s">
        <v>11</v>
      </c>
      <c r="G2" s="27" t="s">
        <v>12</v>
      </c>
      <c r="H2" s="27" t="s">
        <v>13</v>
      </c>
      <c r="I2" s="27" t="s">
        <v>14</v>
      </c>
      <c r="J2" s="27" t="s">
        <v>15</v>
      </c>
      <c r="K2" s="27" t="s">
        <v>16</v>
      </c>
      <c r="L2" s="27" t="s">
        <v>17</v>
      </c>
      <c r="M2" s="28" t="s">
        <v>18</v>
      </c>
    </row>
    <row r="3" spans="2:14" s="2" customFormat="1" x14ac:dyDescent="0.2">
      <c r="B3" s="2" t="s">
        <v>111</v>
      </c>
      <c r="C3" s="20">
        <f>'TE Office'!C9</f>
        <v>0.80651318506282987</v>
      </c>
      <c r="D3" s="20">
        <f>'TE Office'!D9</f>
        <v>0.84746186247561472</v>
      </c>
      <c r="E3" s="20">
        <f>'TE Office'!E9</f>
        <v>0.90940881520945416</v>
      </c>
      <c r="F3" s="20">
        <f>'TE Office'!F9</f>
        <v>0.9061006849015163</v>
      </c>
      <c r="G3" s="20">
        <f>'TE Office'!G9</f>
        <v>0.90275531722103852</v>
      </c>
      <c r="H3" s="20">
        <f>'TE Office'!H9</f>
        <v>0.92456308122655606</v>
      </c>
      <c r="I3" s="20">
        <f>'TE Office'!I9</f>
        <v>0.92228541358341343</v>
      </c>
      <c r="J3" s="20">
        <f>'TE Office'!J9</f>
        <v>0.92228541358341343</v>
      </c>
      <c r="K3" s="20">
        <f>'TE Office'!K9</f>
        <v>0.92228541358341343</v>
      </c>
      <c r="L3" s="20">
        <f>'TE Office'!L9</f>
        <v>0.92228541358341343</v>
      </c>
      <c r="M3" s="20">
        <f>'TE Office'!M9</f>
        <v>0.92228541358341343</v>
      </c>
    </row>
    <row r="4" spans="2:14" s="2" customFormat="1" x14ac:dyDescent="0.2">
      <c r="B4" s="2" t="s">
        <v>112</v>
      </c>
      <c r="C4" s="20">
        <f>'TE Office'!C18</f>
        <v>0.80525498994983757</v>
      </c>
      <c r="D4" s="20">
        <f>'TE Office'!D18</f>
        <v>0.80985763184168136</v>
      </c>
      <c r="E4" s="20">
        <f>'TE Office'!E18</f>
        <v>0.86385627153958866</v>
      </c>
      <c r="F4" s="20">
        <f>'TE Office'!F18</f>
        <v>0.86259294496847894</v>
      </c>
      <c r="G4" s="20">
        <f>'TE Office'!G18</f>
        <v>0.86038191766189331</v>
      </c>
      <c r="H4" s="20">
        <f>'TE Office'!H18</f>
        <v>0.84411497590289675</v>
      </c>
      <c r="I4" s="20">
        <f>'TE Office'!I18</f>
        <v>0.84176328627380548</v>
      </c>
      <c r="J4" s="20">
        <f>'TE Office'!J18</f>
        <v>0.84175505398805606</v>
      </c>
      <c r="K4" s="20">
        <f>'TE Office'!K18</f>
        <v>0.84175505398805606</v>
      </c>
      <c r="L4" s="20">
        <f>'TE Office'!L18</f>
        <v>0.84175505398805606</v>
      </c>
      <c r="M4" s="20">
        <f>'TE Office'!M18</f>
        <v>0.84175505398805606</v>
      </c>
    </row>
    <row r="5" spans="2:14" s="2" customFormat="1" x14ac:dyDescent="0.2">
      <c r="B5" s="2" t="s">
        <v>0</v>
      </c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2:14" s="4" customFormat="1" x14ac:dyDescent="0.2">
      <c r="B6" s="2" t="s">
        <v>21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2:14" s="4" customFormat="1" x14ac:dyDescent="0.2">
      <c r="B7" s="3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2:14" s="4" customFormat="1" x14ac:dyDescent="0.2">
      <c r="B8" s="3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2:14" s="4" customFormat="1" x14ac:dyDescent="0.2">
      <c r="B9" s="3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2:14" s="4" customFormat="1" x14ac:dyDescent="0.2"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2:14" s="6" customFormat="1" ht="20" customHeight="1" x14ac:dyDescent="0.2">
      <c r="C11" s="6">
        <v>0</v>
      </c>
      <c r="D11" s="7">
        <v>1</v>
      </c>
      <c r="E11" s="7">
        <v>2</v>
      </c>
      <c r="F11" s="7">
        <v>3</v>
      </c>
      <c r="G11" s="7">
        <v>4</v>
      </c>
      <c r="H11" s="7">
        <v>5</v>
      </c>
      <c r="I11" s="7">
        <v>6</v>
      </c>
      <c r="J11" s="7">
        <v>7</v>
      </c>
      <c r="K11" s="7">
        <v>8</v>
      </c>
      <c r="L11" s="7">
        <v>9</v>
      </c>
      <c r="M11" s="7">
        <v>10</v>
      </c>
    </row>
    <row r="12" spans="2:14" s="6" customFormat="1" ht="20" customHeight="1" thickBot="1" x14ac:dyDescent="0.25">
      <c r="B12" s="6" t="s">
        <v>19</v>
      </c>
      <c r="C12" s="21" t="s">
        <v>45</v>
      </c>
      <c r="D12" s="7" t="s">
        <v>9</v>
      </c>
      <c r="E12" s="7" t="s">
        <v>10</v>
      </c>
      <c r="F12" s="7" t="s">
        <v>11</v>
      </c>
      <c r="G12" s="7" t="s">
        <v>12</v>
      </c>
      <c r="H12" s="7" t="s">
        <v>13</v>
      </c>
      <c r="I12" s="7" t="s">
        <v>14</v>
      </c>
      <c r="J12" s="7" t="s">
        <v>15</v>
      </c>
      <c r="K12" s="7" t="s">
        <v>16</v>
      </c>
      <c r="L12" s="7" t="s">
        <v>17</v>
      </c>
      <c r="M12" s="7" t="s">
        <v>18</v>
      </c>
    </row>
    <row r="13" spans="2:14" s="8" customFormat="1" ht="20" customHeight="1" x14ac:dyDescent="0.2">
      <c r="B13" s="11" t="s">
        <v>7</v>
      </c>
      <c r="C13" s="8">
        <f>'TE Office'!C7</f>
        <v>248951980320.72696</v>
      </c>
      <c r="D13" s="8">
        <f>'TE Office'!D7</f>
        <v>259869334084.18256</v>
      </c>
      <c r="E13" s="8">
        <f>'TE Office'!E7</f>
        <v>279770671830.10236</v>
      </c>
      <c r="F13" s="8">
        <f>'TE Office'!F7</f>
        <v>278616122955.80579</v>
      </c>
      <c r="G13" s="8">
        <f>'TE Office'!G7</f>
        <v>276680466155.80579</v>
      </c>
      <c r="H13" s="8">
        <f>'TE Office'!H7</f>
        <v>284995854572.91614</v>
      </c>
      <c r="I13" s="8">
        <f>'TE Office'!I7</f>
        <v>284567345064.54254</v>
      </c>
      <c r="J13" s="8">
        <f>'TE Office'!J7</f>
        <v>284567345064.54254</v>
      </c>
      <c r="K13" s="8">
        <f>'TE Office'!K7</f>
        <v>285755346214.19824</v>
      </c>
      <c r="L13" s="8">
        <f>'TE Office'!L7</f>
        <v>286151346597.41675</v>
      </c>
      <c r="M13" s="8">
        <f>'TE Office'!M7</f>
        <v>286151346597.41675</v>
      </c>
      <c r="N13" s="22"/>
    </row>
    <row r="14" spans="2:14" ht="20" customHeight="1" x14ac:dyDescent="0.2">
      <c r="B14" s="1" t="s">
        <v>8</v>
      </c>
      <c r="C14" s="8">
        <v>7000000000</v>
      </c>
      <c r="D14" s="8">
        <v>7800000000</v>
      </c>
      <c r="E14" s="8">
        <v>7800000000</v>
      </c>
      <c r="F14" s="8">
        <v>7800000000</v>
      </c>
      <c r="G14" s="8">
        <v>7800000000</v>
      </c>
      <c r="H14" s="8">
        <v>7800000000</v>
      </c>
      <c r="I14" s="8">
        <v>7800000000</v>
      </c>
      <c r="J14" s="8">
        <v>7800000000</v>
      </c>
      <c r="K14" s="8">
        <v>7800000000</v>
      </c>
      <c r="L14" s="8">
        <v>7800000000</v>
      </c>
      <c r="M14" s="8">
        <v>7800000000</v>
      </c>
      <c r="N14" s="23"/>
    </row>
    <row r="15" spans="2:14" ht="20" customHeight="1" x14ac:dyDescent="0.2">
      <c r="B15" s="1" t="s">
        <v>2</v>
      </c>
      <c r="C15" s="8" cm="1">
        <f t="array" ref="C15">Table36[2022]</f>
        <v>15151548951.902332</v>
      </c>
      <c r="D15" s="8" cm="1">
        <f t="array" ref="D15">Table36[2023]</f>
        <v>17699663023.4286</v>
      </c>
      <c r="E15" s="8" cm="1">
        <f t="array" ref="E15">Table36[2024]</f>
        <v>24416595021.269829</v>
      </c>
      <c r="F15" s="8" cm="1">
        <f t="array" ref="F15">Table36[2025]</f>
        <v>24057893174.967743</v>
      </c>
      <c r="G15" s="8" cm="1">
        <f t="array" ref="G15">Table36[2026]</f>
        <v>23695153665.986694</v>
      </c>
      <c r="H15" s="8" cm="1">
        <f t="array" ref="H15">Table36[2027]</f>
        <v>26059777935.39024</v>
      </c>
      <c r="I15" s="8" cm="1">
        <f t="array" ref="I15">Table36[2028]</f>
        <v>25812809553.613567</v>
      </c>
      <c r="J15" s="8" cm="1">
        <f t="array" ref="J15">Table36[2029]</f>
        <v>25812809553.613567</v>
      </c>
      <c r="K15" s="8" cm="1">
        <f t="array" ref="K15">Table36[2030]</f>
        <v>25812809553.613567</v>
      </c>
      <c r="L15" s="8" cm="1">
        <f t="array" ref="L15">Table36[2031]</f>
        <v>25812809553.613567</v>
      </c>
      <c r="M15" s="8" cm="1">
        <f t="array" ref="M15">Table36[2032]</f>
        <v>25812809553.613567</v>
      </c>
      <c r="N15" s="23"/>
    </row>
    <row r="16" spans="2:14" ht="20" customHeight="1" x14ac:dyDescent="0.2">
      <c r="B16" s="1" t="s">
        <v>3</v>
      </c>
      <c r="C16" s="8">
        <f>Table3[[#Totals],[2022]]</f>
        <v>16440604452.040001</v>
      </c>
      <c r="D16" s="8">
        <f>Table3[[#Totals],[2023]]</f>
        <v>18124713023.468571</v>
      </c>
      <c r="E16" s="8">
        <f>Table3[[#Totals],[2024]]</f>
        <v>18592713023.468571</v>
      </c>
      <c r="F16" s="8">
        <f>Table3[[#Totals],[2025]]</f>
        <v>19298103023.468571</v>
      </c>
      <c r="G16" s="8">
        <f>Table3[[#Totals],[2026]]</f>
        <v>19893183023.468571</v>
      </c>
      <c r="H16" s="8">
        <f>Table3[[#Totals],[2027]]</f>
        <v>20493183023.468571</v>
      </c>
      <c r="I16" s="8">
        <f>Table3[[#Totals],[2028]]</f>
        <v>21093183023.468571</v>
      </c>
      <c r="J16" s="8">
        <f>Table3[[#Totals],[2029]]</f>
        <v>21693183023.468571</v>
      </c>
      <c r="K16" s="8">
        <f>Table3[[#Totals],[2030]]</f>
        <v>22293183023.468571</v>
      </c>
      <c r="L16" s="8">
        <f>Table3[[#Totals],[2031]]</f>
        <v>22893183023.468571</v>
      </c>
      <c r="M16" s="8">
        <f>Table3[[#Totals],[2032]]</f>
        <v>23493183023.468571</v>
      </c>
      <c r="N16" s="23"/>
    </row>
    <row r="17" spans="2:14" ht="20" customHeight="1" x14ac:dyDescent="0.2">
      <c r="B17" s="1" t="s">
        <v>4</v>
      </c>
      <c r="C17" s="8">
        <f>Table4[[#Totals],[2022]]</f>
        <v>6174018000</v>
      </c>
      <c r="D17" s="8">
        <f>Table4[[#Totals],[2023]]</f>
        <v>7128806925</v>
      </c>
      <c r="E17" s="8">
        <f>Table4[[#Totals],[2024]]</f>
        <v>9645669240.2241859</v>
      </c>
      <c r="F17" s="8">
        <f>Table4[[#Totals],[2025]]</f>
        <v>9511262168.7145729</v>
      </c>
      <c r="G17" s="8">
        <f>Table4[[#Totals],[2026]]</f>
        <v>9375342168.2306099</v>
      </c>
      <c r="H17" s="8">
        <f>Table4[[#Totals],[2027]]</f>
        <v>10261376702.336218</v>
      </c>
      <c r="I17" s="8">
        <f>Table4[[#Totals],[2028]]</f>
        <v>10168836624.016922</v>
      </c>
      <c r="J17" s="8">
        <f>Table4[[#Totals],[2029]]</f>
        <v>10168836624.016922</v>
      </c>
      <c r="K17" s="8">
        <f>Table4[[#Totals],[2030]]</f>
        <v>10168836624.016922</v>
      </c>
      <c r="L17" s="8">
        <f>Table4[[#Totals],[2031]]</f>
        <v>10168836624.016922</v>
      </c>
      <c r="M17" s="8">
        <f>Table4[[#Totals],[2032]]</f>
        <v>10168836624.016922</v>
      </c>
      <c r="N17" s="23"/>
    </row>
    <row r="18" spans="2:14" ht="20" customHeight="1" x14ac:dyDescent="0.2">
      <c r="B18" s="1" t="s">
        <v>5</v>
      </c>
      <c r="C18" s="8">
        <f>SH!F4</f>
        <v>3200000000</v>
      </c>
      <c r="D18" s="8">
        <f>SH!G4</f>
        <v>4500000000</v>
      </c>
      <c r="E18" s="8">
        <f>SH!H4</f>
        <v>5500000000</v>
      </c>
      <c r="F18" s="8">
        <f>SH!I4</f>
        <v>6000000000</v>
      </c>
      <c r="G18" s="8">
        <f>SH!J4</f>
        <v>7000000000</v>
      </c>
      <c r="H18" s="8">
        <f>SH!K4</f>
        <v>7500000000</v>
      </c>
      <c r="I18" s="8">
        <f>SH!L4</f>
        <v>8000000000</v>
      </c>
      <c r="J18" s="8">
        <f>SH!M4</f>
        <v>8500000000</v>
      </c>
      <c r="K18" s="8">
        <f>SH!N4</f>
        <v>9000000000</v>
      </c>
      <c r="L18" s="8">
        <f>SH!O4</f>
        <v>9000000000</v>
      </c>
      <c r="M18" s="8">
        <f>SH!P4</f>
        <v>9000000000</v>
      </c>
      <c r="N18" s="23"/>
    </row>
    <row r="19" spans="2:14" ht="20" customHeight="1" x14ac:dyDescent="0.2">
      <c r="B19" s="1" t="s">
        <v>6</v>
      </c>
      <c r="C19" s="8">
        <f>3500000000+1600000000</f>
        <v>5100000000</v>
      </c>
      <c r="D19" s="8">
        <f t="shared" ref="D19:M19" si="0">3500000000+1600000000</f>
        <v>5100000000</v>
      </c>
      <c r="E19" s="8">
        <f t="shared" si="0"/>
        <v>5100000000</v>
      </c>
      <c r="F19" s="8">
        <f t="shared" si="0"/>
        <v>5100000000</v>
      </c>
      <c r="G19" s="8">
        <f t="shared" si="0"/>
        <v>5100000000</v>
      </c>
      <c r="H19" s="8">
        <f t="shared" si="0"/>
        <v>5100000000</v>
      </c>
      <c r="I19" s="8">
        <f t="shared" si="0"/>
        <v>5100000000</v>
      </c>
      <c r="J19" s="8">
        <f t="shared" si="0"/>
        <v>5100000000</v>
      </c>
      <c r="K19" s="8">
        <f t="shared" si="0"/>
        <v>5100000000</v>
      </c>
      <c r="L19" s="8">
        <f t="shared" si="0"/>
        <v>5100000000</v>
      </c>
      <c r="M19" s="8">
        <f t="shared" si="0"/>
        <v>5100000000</v>
      </c>
      <c r="N19" s="23"/>
    </row>
    <row r="20" spans="2:14" ht="20" customHeight="1" x14ac:dyDescent="0.2">
      <c r="B20" s="1" t="s">
        <v>0</v>
      </c>
      <c r="C20" s="8">
        <f>Ampera!C4</f>
        <v>7382584356</v>
      </c>
      <c r="D20" s="8">
        <f>Ampera!D4</f>
        <v>7382584356</v>
      </c>
      <c r="E20" s="8">
        <f>Ampera!E4</f>
        <v>7382584356</v>
      </c>
      <c r="F20" s="8">
        <f>Ampera!F4</f>
        <v>8199964357.2000008</v>
      </c>
      <c r="G20" s="8">
        <f>Ampera!G4</f>
        <v>9017344357.2000008</v>
      </c>
      <c r="H20" s="8">
        <f>Ampera!H4</f>
        <v>9017344357.2000008</v>
      </c>
      <c r="I20" s="8">
        <f>Ampera!I4</f>
        <v>9017344357.2000008</v>
      </c>
      <c r="J20" s="8">
        <f>Ampera!J4</f>
        <v>9017344357.2000008</v>
      </c>
      <c r="K20" s="8">
        <f>Ampera!K4</f>
        <v>9017344357.2000008</v>
      </c>
      <c r="L20" s="8">
        <f>Ampera!L4</f>
        <v>9017344357.2000008</v>
      </c>
      <c r="M20" s="8">
        <f>Ampera!M4</f>
        <v>9017344357.2000008</v>
      </c>
      <c r="N20" s="23"/>
    </row>
    <row r="21" spans="2:14" ht="20" customHeight="1" x14ac:dyDescent="0.2">
      <c r="B21" s="1" t="s">
        <v>1</v>
      </c>
      <c r="C21" s="8">
        <v>2600000000</v>
      </c>
      <c r="D21" s="8">
        <v>2600000000</v>
      </c>
      <c r="E21" s="8">
        <v>2600000000</v>
      </c>
      <c r="F21" s="8">
        <v>2600000000</v>
      </c>
      <c r="G21" s="8">
        <v>2600000000</v>
      </c>
      <c r="H21" s="8">
        <v>2600000000</v>
      </c>
      <c r="I21" s="8">
        <v>2600000000</v>
      </c>
      <c r="J21" s="8">
        <v>2600000000</v>
      </c>
      <c r="K21" s="8">
        <v>2600000000</v>
      </c>
      <c r="L21" s="8">
        <v>2600000000</v>
      </c>
      <c r="M21" s="8">
        <v>2600000000</v>
      </c>
      <c r="N21" s="23"/>
    </row>
    <row r="22" spans="2:14" ht="20" customHeight="1" x14ac:dyDescent="0.2">
      <c r="B22" s="1" t="s">
        <v>113</v>
      </c>
      <c r="C22" s="8">
        <f>Dago!F4</f>
        <v>8000000000</v>
      </c>
      <c r="D22" s="8">
        <f>Dago!G4</f>
        <v>8500000000</v>
      </c>
      <c r="E22" s="8">
        <f>Dago!H4</f>
        <v>9000000000</v>
      </c>
      <c r="F22" s="8">
        <f>Dago!I4</f>
        <v>10000000000</v>
      </c>
      <c r="G22" s="8">
        <f>Dago!J4</f>
        <v>10500000000</v>
      </c>
      <c r="H22" s="8">
        <f>Dago!K4</f>
        <v>11000000000</v>
      </c>
      <c r="I22" s="8">
        <f>Dago!L4</f>
        <v>12000000000</v>
      </c>
      <c r="J22" s="8">
        <f>Dago!M4</f>
        <v>12000000000</v>
      </c>
      <c r="K22" s="8">
        <f>Dago!N4</f>
        <v>12000000000</v>
      </c>
      <c r="L22" s="8">
        <f>Dago!O4</f>
        <v>12000000000</v>
      </c>
      <c r="M22" s="8">
        <f>Dago!P4</f>
        <v>12000000000</v>
      </c>
      <c r="N22" s="23"/>
    </row>
    <row r="23" spans="2:14" ht="20" customHeight="1" thickBot="1" x14ac:dyDescent="0.25">
      <c r="B23" s="1" t="s">
        <v>20</v>
      </c>
      <c r="C23" s="9">
        <f>SUBTOTAL(109,Table2[2022])</f>
        <v>320000736080.66931</v>
      </c>
      <c r="D23" s="9">
        <f>SUBTOTAL(109,Table2[2023])</f>
        <v>338705101412.07971</v>
      </c>
      <c r="E23" s="9">
        <f>SUBTOTAL(109,Table2[2024])</f>
        <v>369808233471.06494</v>
      </c>
      <c r="F23" s="9">
        <f>SUBTOTAL(109,Table2[2025])</f>
        <v>371183345680.15674</v>
      </c>
      <c r="G23" s="9">
        <f>SUBTOTAL(109,Table2[2026])</f>
        <v>371661489370.69165</v>
      </c>
      <c r="H23" s="9">
        <f>SUBTOTAL(109,Table2[2027])</f>
        <v>384827536591.31122</v>
      </c>
      <c r="I23" s="9">
        <f>SUBTOTAL(109,Table2[2028])</f>
        <v>386159518622.84161</v>
      </c>
      <c r="J23" s="9">
        <f>SUBTOTAL(109,Table2[2029])</f>
        <v>387259518622.84161</v>
      </c>
      <c r="K23" s="9">
        <f>SUBTOTAL(109,Table2[2030])</f>
        <v>389547519772.49731</v>
      </c>
      <c r="L23" s="9">
        <f>SUBTOTAL(109,Table2[2031])</f>
        <v>390543520155.71582</v>
      </c>
      <c r="M23" s="9">
        <f>SUBTOTAL(109,Table2[2032])</f>
        <v>391143520155.71582</v>
      </c>
      <c r="N23" s="24"/>
    </row>
    <row r="24" spans="2:14" ht="20" customHeight="1" x14ac:dyDescent="0.2">
      <c r="D24" s="8">
        <f>Table2[[#Totals],[2023]]/14750</f>
        <v>22963057.722852863</v>
      </c>
      <c r="E24" s="8">
        <f>Table2[[#Totals],[2024]]/14750</f>
        <v>25071744.642106097</v>
      </c>
      <c r="F24" s="8">
        <f>Table2[[#Totals],[2025]]/14750</f>
        <v>25164972.588485204</v>
      </c>
      <c r="G24" s="8">
        <f>Table2[[#Totals],[2026]]/14750</f>
        <v>25197389.1098774</v>
      </c>
      <c r="H24" s="8">
        <f>Table2[[#Totals],[2027]]/14750</f>
        <v>26090002.480766863</v>
      </c>
      <c r="I24" s="8">
        <f>Table2[[#Totals],[2028]]/14750</f>
        <v>26180306.347311296</v>
      </c>
      <c r="J24" s="8">
        <f>Table2[[#Totals],[2029]]/14750</f>
        <v>26254882.618497737</v>
      </c>
      <c r="K24" s="8">
        <f>Table2[[#Totals],[2030]]/14750</f>
        <v>26410001.340508293</v>
      </c>
      <c r="L24" s="8">
        <f>Table2[[#Totals],[2031]]/14750</f>
        <v>26477526.790218022</v>
      </c>
      <c r="M24" s="8">
        <f>Table2[[#Totals],[2032]]/14750</f>
        <v>26518204.756319717</v>
      </c>
    </row>
    <row r="25" spans="2:14" ht="20" customHeight="1" x14ac:dyDescent="0.2"/>
    <row r="26" spans="2:14" s="6" customFormat="1" ht="20" customHeight="1" x14ac:dyDescent="0.2">
      <c r="C26" s="6">
        <v>0</v>
      </c>
      <c r="D26" s="7">
        <v>1</v>
      </c>
      <c r="E26" s="7">
        <v>2</v>
      </c>
      <c r="F26" s="7">
        <v>3</v>
      </c>
      <c r="G26" s="7">
        <v>4</v>
      </c>
      <c r="H26" s="7">
        <v>5</v>
      </c>
      <c r="I26" s="7">
        <v>6</v>
      </c>
      <c r="J26" s="7">
        <v>7</v>
      </c>
      <c r="K26" s="7">
        <v>8</v>
      </c>
      <c r="L26" s="7">
        <v>9</v>
      </c>
      <c r="M26" s="7">
        <v>10</v>
      </c>
    </row>
    <row r="27" spans="2:14" s="6" customFormat="1" ht="20" customHeight="1" thickBot="1" x14ac:dyDescent="0.25">
      <c r="B27" s="6" t="s">
        <v>19</v>
      </c>
      <c r="C27" s="21" t="s">
        <v>45</v>
      </c>
      <c r="D27" s="7" t="s">
        <v>9</v>
      </c>
      <c r="E27" s="7" t="s">
        <v>10</v>
      </c>
      <c r="F27" s="7" t="s">
        <v>11</v>
      </c>
      <c r="G27" s="7" t="s">
        <v>12</v>
      </c>
      <c r="H27" s="7" t="s">
        <v>13</v>
      </c>
      <c r="I27" s="7" t="s">
        <v>14</v>
      </c>
      <c r="J27" s="7" t="s">
        <v>15</v>
      </c>
      <c r="K27" s="7" t="s">
        <v>16</v>
      </c>
      <c r="L27" s="7" t="s">
        <v>17</v>
      </c>
      <c r="M27" s="7" t="s">
        <v>18</v>
      </c>
    </row>
    <row r="28" spans="2:14" s="8" customFormat="1" ht="20" customHeight="1" x14ac:dyDescent="0.2">
      <c r="B28" s="11" t="s">
        <v>7</v>
      </c>
      <c r="C28" s="98">
        <f>'TE Office'!C16</f>
        <v>248555490720.72696</v>
      </c>
      <c r="D28" s="98">
        <f>'TE Office'!D16</f>
        <v>247725126742.11261</v>
      </c>
      <c r="E28" s="98">
        <f>'TE Office'!E16</f>
        <v>264727726609.62979</v>
      </c>
      <c r="F28" s="98">
        <f>'TE Office'!F16</f>
        <v>264273661472.84836</v>
      </c>
      <c r="G28" s="98">
        <f>'TE Office'!G16</f>
        <v>262845412632.84836</v>
      </c>
      <c r="H28" s="98">
        <f>'TE Office'!H16</f>
        <v>258128283672.504</v>
      </c>
      <c r="I28" s="98">
        <f>'TE Office'!I16</f>
        <v>257680431645.72256</v>
      </c>
      <c r="J28" s="98">
        <f>'TE Office'!J16</f>
        <v>257680431645.72256</v>
      </c>
      <c r="K28" s="98">
        <f>'TE Office'!K16</f>
        <v>258673138195.3782</v>
      </c>
      <c r="L28" s="98">
        <f>'TE Office'!L16</f>
        <v>259004040378.59674</v>
      </c>
      <c r="M28" s="98">
        <f>'TE Office'!M16</f>
        <v>259004040378.59674</v>
      </c>
      <c r="N28" s="22"/>
    </row>
    <row r="29" spans="2:14" ht="20" customHeight="1" x14ac:dyDescent="0.2">
      <c r="B29" s="1" t="s">
        <v>8</v>
      </c>
      <c r="C29" s="8">
        <v>7000000000</v>
      </c>
      <c r="D29" s="8">
        <v>7800000000</v>
      </c>
      <c r="E29" s="8">
        <v>7800000000</v>
      </c>
      <c r="F29" s="8">
        <v>7800000000</v>
      </c>
      <c r="G29" s="8">
        <v>7800000000</v>
      </c>
      <c r="H29" s="8">
        <v>7800000000</v>
      </c>
      <c r="I29" s="8">
        <v>7800000000</v>
      </c>
      <c r="J29" s="8">
        <v>7800000000</v>
      </c>
      <c r="K29" s="8">
        <v>7800000000</v>
      </c>
      <c r="L29" s="8">
        <v>7800000000</v>
      </c>
      <c r="M29" s="8">
        <v>7800000000</v>
      </c>
      <c r="N29" s="23"/>
    </row>
    <row r="30" spans="2:14" ht="20" customHeight="1" x14ac:dyDescent="0.2">
      <c r="B30" s="1" t="s">
        <v>2</v>
      </c>
      <c r="C30" s="8" cm="1">
        <f t="array" ref="C30">Table36[2022]</f>
        <v>15151548951.902332</v>
      </c>
      <c r="D30" s="8" cm="1">
        <f t="array" ref="D30">Table36[2023]</f>
        <v>17699663023.4286</v>
      </c>
      <c r="E30" s="8" cm="1">
        <f t="array" ref="E30">Table36[2024]</f>
        <v>24416595021.269829</v>
      </c>
      <c r="F30" s="8" cm="1">
        <f t="array" ref="F30">Table36[2025]</f>
        <v>24057893174.967743</v>
      </c>
      <c r="G30" s="8" cm="1">
        <f t="array" ref="G30">Table36[2026]</f>
        <v>23695153665.986694</v>
      </c>
      <c r="H30" s="8" cm="1">
        <f t="array" ref="H30">Table36[2027]</f>
        <v>26059777935.39024</v>
      </c>
      <c r="I30" s="8" cm="1">
        <f t="array" ref="I30">Table36[2028]</f>
        <v>25812809553.613567</v>
      </c>
      <c r="J30" s="8" cm="1">
        <f t="array" ref="J30">Table36[2029]</f>
        <v>25812809553.613567</v>
      </c>
      <c r="K30" s="8" cm="1">
        <f t="array" ref="K30">Table36[2030]</f>
        <v>25812809553.613567</v>
      </c>
      <c r="L30" s="8" cm="1">
        <f t="array" ref="L30">Table36[2031]</f>
        <v>25812809553.613567</v>
      </c>
      <c r="M30" s="8" cm="1">
        <f t="array" ref="M30">Table36[2032]</f>
        <v>25812809553.613567</v>
      </c>
      <c r="N30" s="23"/>
    </row>
    <row r="31" spans="2:14" ht="20" customHeight="1" x14ac:dyDescent="0.2">
      <c r="B31" s="1" t="s">
        <v>3</v>
      </c>
      <c r="C31" s="8">
        <f>Table3[[#Totals],[2022]]</f>
        <v>16440604452.040001</v>
      </c>
      <c r="D31" s="8">
        <f>Table3[[#Totals],[2023]]</f>
        <v>18124713023.468571</v>
      </c>
      <c r="E31" s="8">
        <f>Table3[[#Totals],[2024]]</f>
        <v>18592713023.468571</v>
      </c>
      <c r="F31" s="8">
        <f>Table3[[#Totals],[2025]]</f>
        <v>19298103023.468571</v>
      </c>
      <c r="G31" s="8">
        <f>Table3[[#Totals],[2026]]</f>
        <v>19893183023.468571</v>
      </c>
      <c r="H31" s="8">
        <f>Table3[[#Totals],[2027]]</f>
        <v>20493183023.468571</v>
      </c>
      <c r="I31" s="8">
        <f>Table3[[#Totals],[2028]]</f>
        <v>21093183023.468571</v>
      </c>
      <c r="J31" s="8">
        <f>Table3[[#Totals],[2029]]</f>
        <v>21693183023.468571</v>
      </c>
      <c r="K31" s="8">
        <f>Table3[[#Totals],[2030]]</f>
        <v>22293183023.468571</v>
      </c>
      <c r="L31" s="8">
        <f>Table3[[#Totals],[2031]]</f>
        <v>22893183023.468571</v>
      </c>
      <c r="M31" s="8">
        <f>Table3[[#Totals],[2032]]</f>
        <v>23493183023.468571</v>
      </c>
      <c r="N31" s="23"/>
    </row>
    <row r="32" spans="2:14" ht="20" customHeight="1" x14ac:dyDescent="0.2">
      <c r="B32" s="1" t="s">
        <v>4</v>
      </c>
      <c r="C32" s="8">
        <f>Table4[[#Totals],[2022]]</f>
        <v>6174018000</v>
      </c>
      <c r="D32" s="8">
        <f>Table4[[#Totals],[2023]]</f>
        <v>7128806925</v>
      </c>
      <c r="E32" s="8">
        <f>Table4[[#Totals],[2024]]</f>
        <v>9645669240.2241859</v>
      </c>
      <c r="F32" s="8">
        <f>Table4[[#Totals],[2025]]</f>
        <v>9511262168.7145729</v>
      </c>
      <c r="G32" s="8">
        <f>Table4[[#Totals],[2026]]</f>
        <v>9375342168.2306099</v>
      </c>
      <c r="H32" s="8">
        <f>Table4[[#Totals],[2027]]</f>
        <v>10261376702.336218</v>
      </c>
      <c r="I32" s="8">
        <f>Table4[[#Totals],[2028]]</f>
        <v>10168836624.016922</v>
      </c>
      <c r="J32" s="8">
        <f>Table4[[#Totals],[2029]]</f>
        <v>10168836624.016922</v>
      </c>
      <c r="K32" s="8">
        <f>Table4[[#Totals],[2030]]</f>
        <v>10168836624.016922</v>
      </c>
      <c r="L32" s="8">
        <f>Table4[[#Totals],[2031]]</f>
        <v>10168836624.016922</v>
      </c>
      <c r="M32" s="8">
        <f>Table4[[#Totals],[2032]]</f>
        <v>10168836624.016922</v>
      </c>
      <c r="N32" s="23"/>
    </row>
    <row r="33" spans="2:14" ht="20" customHeight="1" x14ac:dyDescent="0.2">
      <c r="B33" s="1" t="s">
        <v>5</v>
      </c>
      <c r="C33" s="98">
        <f>SH!F9</f>
        <v>3200000000</v>
      </c>
      <c r="D33" s="98">
        <f>SH!G9</f>
        <v>4500000000</v>
      </c>
      <c r="E33" s="98">
        <f>SH!H9</f>
        <v>4750000000</v>
      </c>
      <c r="F33" s="98">
        <f>SH!I9</f>
        <v>5000000000</v>
      </c>
      <c r="G33" s="98">
        <f>SH!J9</f>
        <v>5250000000</v>
      </c>
      <c r="H33" s="98">
        <f>SH!K9</f>
        <v>5750000000</v>
      </c>
      <c r="I33" s="98">
        <f>SH!L9</f>
        <v>6250000000</v>
      </c>
      <c r="J33" s="98">
        <f>SH!M9</f>
        <v>6750000000</v>
      </c>
      <c r="K33" s="98">
        <f>SH!N9</f>
        <v>7250000000</v>
      </c>
      <c r="L33" s="98">
        <f>SH!O9</f>
        <v>7250000000</v>
      </c>
      <c r="M33" s="98">
        <f>SH!P9</f>
        <v>7250000000</v>
      </c>
      <c r="N33" s="23"/>
    </row>
    <row r="34" spans="2:14" ht="20" customHeight="1" x14ac:dyDescent="0.2">
      <c r="B34" s="1" t="s">
        <v>6</v>
      </c>
      <c r="C34" s="8">
        <v>3500000000</v>
      </c>
      <c r="D34" s="8">
        <v>3500000000</v>
      </c>
      <c r="E34" s="8">
        <v>3500000000</v>
      </c>
      <c r="F34" s="8">
        <v>3500000000</v>
      </c>
      <c r="G34" s="8">
        <v>3500000000</v>
      </c>
      <c r="H34" s="8">
        <v>3500000000</v>
      </c>
      <c r="I34" s="8">
        <v>3500000000</v>
      </c>
      <c r="J34" s="8">
        <v>3500000000</v>
      </c>
      <c r="K34" s="8">
        <v>3500000000</v>
      </c>
      <c r="L34" s="8">
        <v>3500000000</v>
      </c>
      <c r="M34" s="8">
        <v>3500000000</v>
      </c>
      <c r="N34" s="23"/>
    </row>
    <row r="35" spans="2:14" ht="20" customHeight="1" x14ac:dyDescent="0.2">
      <c r="B35" s="1" t="s">
        <v>0</v>
      </c>
      <c r="C35" s="8">
        <f>Ampera!C4</f>
        <v>7382584356</v>
      </c>
      <c r="D35" s="8">
        <f>Ampera!D4</f>
        <v>7382584356</v>
      </c>
      <c r="E35" s="8">
        <f>Ampera!E4</f>
        <v>7382584356</v>
      </c>
      <c r="F35" s="8">
        <f>Ampera!F4</f>
        <v>8199964357.2000008</v>
      </c>
      <c r="G35" s="8">
        <f>Ampera!G4</f>
        <v>9017344357.2000008</v>
      </c>
      <c r="H35" s="8">
        <f>Ampera!H4</f>
        <v>9017344357.2000008</v>
      </c>
      <c r="I35" s="8">
        <f>Ampera!I4</f>
        <v>9017344357.2000008</v>
      </c>
      <c r="J35" s="8">
        <f>Ampera!J4</f>
        <v>9017344357.2000008</v>
      </c>
      <c r="K35" s="8">
        <f>Ampera!K4</f>
        <v>9017344357.2000008</v>
      </c>
      <c r="L35" s="8">
        <f>Ampera!L4</f>
        <v>9017344357.2000008</v>
      </c>
      <c r="M35" s="8">
        <f>Ampera!M4</f>
        <v>9017344357.2000008</v>
      </c>
      <c r="N35" s="23"/>
    </row>
    <row r="36" spans="2:14" ht="20" customHeight="1" x14ac:dyDescent="0.2">
      <c r="B36" s="1" t="s">
        <v>1</v>
      </c>
      <c r="C36" s="8">
        <v>2600000000</v>
      </c>
      <c r="D36" s="8">
        <v>2600000000</v>
      </c>
      <c r="E36" s="8">
        <v>2600000000</v>
      </c>
      <c r="F36" s="8">
        <v>2600000000</v>
      </c>
      <c r="G36" s="8">
        <v>2600000000</v>
      </c>
      <c r="H36" s="8">
        <v>2600000000</v>
      </c>
      <c r="I36" s="8">
        <v>2600000000</v>
      </c>
      <c r="J36" s="8">
        <v>2600000000</v>
      </c>
      <c r="K36" s="8">
        <v>2600000000</v>
      </c>
      <c r="L36" s="8">
        <v>2600000000</v>
      </c>
      <c r="M36" s="8">
        <v>2600000000</v>
      </c>
      <c r="N36" s="23"/>
    </row>
    <row r="37" spans="2:14" ht="20" customHeight="1" x14ac:dyDescent="0.2">
      <c r="B37" s="1" t="s">
        <v>113</v>
      </c>
      <c r="C37" s="8">
        <f>Dago!F4</f>
        <v>8000000000</v>
      </c>
      <c r="D37" s="8">
        <f>Dago!G4</f>
        <v>8500000000</v>
      </c>
      <c r="E37" s="8">
        <f>Dago!H4</f>
        <v>9000000000</v>
      </c>
      <c r="F37" s="8">
        <f>Dago!I4</f>
        <v>10000000000</v>
      </c>
      <c r="G37" s="8">
        <f>Dago!J4</f>
        <v>10500000000</v>
      </c>
      <c r="H37" s="8">
        <f>Dago!K4</f>
        <v>11000000000</v>
      </c>
      <c r="I37" s="8">
        <f>Dago!L4</f>
        <v>12000000000</v>
      </c>
      <c r="J37" s="8">
        <f>Dago!M4</f>
        <v>12000000000</v>
      </c>
      <c r="K37" s="8">
        <f>Dago!N4</f>
        <v>12000000000</v>
      </c>
      <c r="L37" s="8">
        <f>Dago!O4</f>
        <v>12000000000</v>
      </c>
      <c r="M37" s="8">
        <f>Dago!P4</f>
        <v>12000000000</v>
      </c>
      <c r="N37" s="23"/>
    </row>
    <row r="38" spans="2:14" ht="20" customHeight="1" thickBot="1" x14ac:dyDescent="0.25">
      <c r="B38" s="1" t="s">
        <v>20</v>
      </c>
      <c r="C38" s="9">
        <f>SUBTOTAL(109,Table211[2022])</f>
        <v>318004246480.66931</v>
      </c>
      <c r="D38" s="9">
        <f>SUBTOTAL(109,Table211[2023])</f>
        <v>324960894070.00977</v>
      </c>
      <c r="E38" s="9">
        <f>SUBTOTAL(109,Table211[2024])</f>
        <v>352415288250.59235</v>
      </c>
      <c r="F38" s="9">
        <f>SUBTOTAL(109,Table211[2025])</f>
        <v>354240884197.19928</v>
      </c>
      <c r="G38" s="9">
        <f>SUBTOTAL(109,Table211[2026])</f>
        <v>354476435847.73425</v>
      </c>
      <c r="H38" s="9">
        <f>SUBTOTAL(109,Table211[2027])</f>
        <v>354609965690.89905</v>
      </c>
      <c r="I38" s="9">
        <f>SUBTOTAL(109,Table211[2028])</f>
        <v>355922605204.02161</v>
      </c>
      <c r="J38" s="9">
        <f>SUBTOTAL(109,Table211[2029])</f>
        <v>357022605204.02161</v>
      </c>
      <c r="K38" s="9">
        <f>SUBTOTAL(109,Table211[2030])</f>
        <v>359115311753.67725</v>
      </c>
      <c r="L38" s="9">
        <f>SUBTOTAL(109,Table211[2031])</f>
        <v>360046213936.89581</v>
      </c>
      <c r="M38" s="9">
        <f>SUBTOTAL(109,Table211[2032])</f>
        <v>360646213936.89581</v>
      </c>
      <c r="N38" s="24"/>
    </row>
    <row r="39" spans="2:14" x14ac:dyDescent="0.2">
      <c r="D39" s="8">
        <f>Table211[[#Totals],[2023]]/14750</f>
        <v>22031247.055593882</v>
      </c>
      <c r="E39" s="8">
        <f>Table211[[#Totals],[2024]]/14750</f>
        <v>23892561.915294398</v>
      </c>
      <c r="F39" s="8">
        <f>Table211[[#Totals],[2025]]/14750</f>
        <v>24016331.132013511</v>
      </c>
      <c r="G39" s="8">
        <f>Table211[[#Totals],[2026]]/14750</f>
        <v>24032300.73543961</v>
      </c>
      <c r="H39" s="8">
        <f>Table211[[#Totals],[2027]]/14750</f>
        <v>24041353.606162649</v>
      </c>
      <c r="I39" s="8">
        <f>Table211[[#Totals],[2028]]/14750</f>
        <v>24130346.115526889</v>
      </c>
      <c r="J39" s="8">
        <f>Table211[[#Totals],[2029]]/14750</f>
        <v>24204922.38671333</v>
      </c>
      <c r="K39" s="8">
        <f>Table211[[#Totals],[2030]]/14750</f>
        <v>24346800.796859473</v>
      </c>
      <c r="L39" s="8">
        <f>Table211[[#Totals],[2031]]/14750</f>
        <v>24409912.809281074</v>
      </c>
      <c r="M39" s="8">
        <f>Table211[[#Totals],[2032]]/14750</f>
        <v>24450590.775382768</v>
      </c>
    </row>
  </sheetData>
  <printOptions horizontalCentered="1"/>
  <pageMargins left="0.7" right="0.7" top="0.75" bottom="0.75" header="0.3" footer="0.3"/>
  <pageSetup paperSize="9" scale="41" orientation="landscape" horizontalDpi="0" verticalDpi="0"/>
  <headerFooter>
    <oddFooter>&amp;A&amp;RPage &amp;P</oddFooter>
  </headerFooter>
  <drawing r:id="rId1"/>
  <tableParts count="3">
    <tablePart r:id="rId2"/>
    <tablePart r:id="rId3"/>
    <tablePart r:id="rId4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41AC8C04-055F-BC46-990B-A8AFCC66F91D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Summary!C13:M13</xm:f>
              <xm:sqref>N13</xm:sqref>
            </x14:sparkline>
            <x14:sparkline>
              <xm:f>Summary!C14:M14</xm:f>
              <xm:sqref>N14</xm:sqref>
            </x14:sparkline>
            <x14:sparkline>
              <xm:f>Summary!C15:M15</xm:f>
              <xm:sqref>N15</xm:sqref>
            </x14:sparkline>
            <x14:sparkline>
              <xm:f>Summary!C16:M16</xm:f>
              <xm:sqref>N16</xm:sqref>
            </x14:sparkline>
            <x14:sparkline>
              <xm:f>Summary!C17:M17</xm:f>
              <xm:sqref>N17</xm:sqref>
            </x14:sparkline>
            <x14:sparkline>
              <xm:f>Summary!C18:M18</xm:f>
              <xm:sqref>N18</xm:sqref>
            </x14:sparkline>
            <x14:sparkline>
              <xm:f>Summary!C19:M19</xm:f>
              <xm:sqref>N19</xm:sqref>
            </x14:sparkline>
            <x14:sparkline>
              <xm:f>Summary!C20:M20</xm:f>
              <xm:sqref>N20</xm:sqref>
            </x14:sparkline>
            <x14:sparkline>
              <xm:f>Summary!C21:M21</xm:f>
              <xm:sqref>N21</xm:sqref>
            </x14:sparkline>
            <x14:sparkline>
              <xm:f>Summary!C22:M22</xm:f>
              <xm:sqref>N22</xm:sqref>
            </x14:sparkline>
            <x14:sparkline>
              <xm:f>Summary!C23:M23</xm:f>
              <xm:sqref>N23</xm:sqref>
            </x14:sparkline>
          </x14:sparklines>
        </x14:sparklineGroup>
        <x14:sparklineGroup displayEmptyCellsAs="gap" xr2:uid="{DDB91947-C232-1C4C-819B-643D68F76A89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Summary!C28:M28</xm:f>
              <xm:sqref>N28</xm:sqref>
            </x14:sparkline>
            <x14:sparkline>
              <xm:f>Summary!C29:M29</xm:f>
              <xm:sqref>N29</xm:sqref>
            </x14:sparkline>
            <x14:sparkline>
              <xm:f>Summary!C30:M30</xm:f>
              <xm:sqref>N30</xm:sqref>
            </x14:sparkline>
            <x14:sparkline>
              <xm:f>Summary!C31:M31</xm:f>
              <xm:sqref>N31</xm:sqref>
            </x14:sparkline>
            <x14:sparkline>
              <xm:f>Summary!C32:M32</xm:f>
              <xm:sqref>N32</xm:sqref>
            </x14:sparkline>
            <x14:sparkline>
              <xm:f>Summary!C33:M33</xm:f>
              <xm:sqref>N33</xm:sqref>
            </x14:sparkline>
            <x14:sparkline>
              <xm:f>Summary!C34:M34</xm:f>
              <xm:sqref>N34</xm:sqref>
            </x14:sparkline>
            <x14:sparkline>
              <xm:f>Summary!C35:M35</xm:f>
              <xm:sqref>N35</xm:sqref>
            </x14:sparkline>
            <x14:sparkline>
              <xm:f>Summary!C36:M36</xm:f>
              <xm:sqref>N36</xm:sqref>
            </x14:sparkline>
            <x14:sparkline>
              <xm:f>Summary!C37:M37</xm:f>
              <xm:sqref>N37</xm:sqref>
            </x14:sparkline>
            <x14:sparkline>
              <xm:f>Summary!C38:M38</xm:f>
              <xm:sqref>N38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40E5B-4418-7F4C-8463-249250AB3F7E}">
  <sheetPr>
    <pageSetUpPr fitToPage="1"/>
  </sheetPr>
  <dimension ref="B3:N79"/>
  <sheetViews>
    <sheetView showGridLines="0" tabSelected="1" topLeftCell="A14" zoomScale="94" zoomScaleNormal="100" workbookViewId="0">
      <selection activeCell="B3" sqref="B3"/>
    </sheetView>
  </sheetViews>
  <sheetFormatPr baseColWidth="10" defaultRowHeight="16" x14ac:dyDescent="0.2"/>
  <cols>
    <col min="1" max="1" width="10.83203125" style="1"/>
    <col min="2" max="2" width="10.83203125" style="29"/>
    <col min="3" max="13" width="15.1640625" style="1" customWidth="1"/>
    <col min="14" max="16384" width="10.83203125" style="1"/>
  </cols>
  <sheetData>
    <row r="3" spans="2:14" s="6" customFormat="1" ht="21" customHeight="1" x14ac:dyDescent="0.2">
      <c r="B3" s="29"/>
      <c r="C3" s="6">
        <v>0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</row>
    <row r="4" spans="2:14" s="6" customFormat="1" ht="21" customHeight="1" thickBot="1" x14ac:dyDescent="0.25">
      <c r="B4" s="29" t="s">
        <v>64</v>
      </c>
      <c r="C4" s="31">
        <v>44926</v>
      </c>
      <c r="D4" s="31">
        <v>45291</v>
      </c>
      <c r="E4" s="31">
        <v>45657</v>
      </c>
      <c r="F4" s="31">
        <v>46022</v>
      </c>
      <c r="G4" s="31">
        <v>46387</v>
      </c>
      <c r="H4" s="31">
        <v>46752</v>
      </c>
      <c r="I4" s="31">
        <v>47118</v>
      </c>
      <c r="J4" s="31">
        <v>47483</v>
      </c>
      <c r="K4" s="31">
        <v>47848</v>
      </c>
      <c r="L4" s="31">
        <v>48213</v>
      </c>
      <c r="M4" s="31">
        <v>48579</v>
      </c>
    </row>
    <row r="5" spans="2:14" ht="21" customHeight="1" x14ac:dyDescent="0.2">
      <c r="B5" s="29" t="s">
        <v>65</v>
      </c>
      <c r="C5" s="32">
        <v>205647908168.79742</v>
      </c>
      <c r="D5" s="33">
        <v>213915213433.65952</v>
      </c>
      <c r="E5" s="33">
        <v>229176264737.38779</v>
      </c>
      <c r="F5" s="33">
        <v>227814840567.38779</v>
      </c>
      <c r="G5" s="33">
        <v>226062051017.38779</v>
      </c>
      <c r="H5" s="33">
        <v>231990869097.38779</v>
      </c>
      <c r="I5" s="33">
        <v>231296458142.34375</v>
      </c>
      <c r="J5" s="33">
        <v>231296458142.34375</v>
      </c>
      <c r="K5" s="33">
        <v>231296458142.34375</v>
      </c>
      <c r="L5" s="33">
        <v>231296458142.34375</v>
      </c>
      <c r="M5" s="33">
        <v>231296458142.34375</v>
      </c>
      <c r="N5" s="38"/>
    </row>
    <row r="6" spans="2:14" ht="21" customHeight="1" x14ac:dyDescent="0.2">
      <c r="B6" s="29" t="s">
        <v>66</v>
      </c>
      <c r="C6" s="32">
        <v>43304072151.929543</v>
      </c>
      <c r="D6" s="33">
        <v>45954120650.523056</v>
      </c>
      <c r="E6" s="33">
        <v>50594407092.714592</v>
      </c>
      <c r="F6" s="33">
        <v>50801282388.41803</v>
      </c>
      <c r="G6" s="33">
        <v>50618415138.41803</v>
      </c>
      <c r="H6" s="33">
        <v>53004985475.528358</v>
      </c>
      <c r="I6" s="33">
        <v>53270886922.198814</v>
      </c>
      <c r="J6" s="33">
        <v>53270886922.198814</v>
      </c>
      <c r="K6" s="33">
        <v>54458888071.854462</v>
      </c>
      <c r="L6" s="33">
        <v>54854888455.073013</v>
      </c>
      <c r="M6" s="33">
        <v>54854888455.073013</v>
      </c>
      <c r="N6" s="39"/>
    </row>
    <row r="7" spans="2:14" s="30" customFormat="1" ht="21" customHeight="1" x14ac:dyDescent="0.2">
      <c r="B7" s="29" t="s">
        <v>20</v>
      </c>
      <c r="C7" s="34">
        <v>248951980320.72696</v>
      </c>
      <c r="D7" s="35">
        <v>259869334084.18256</v>
      </c>
      <c r="E7" s="35">
        <v>279770671830.10236</v>
      </c>
      <c r="F7" s="35">
        <v>278616122955.80579</v>
      </c>
      <c r="G7" s="35">
        <v>276680466155.80579</v>
      </c>
      <c r="H7" s="35">
        <v>284995854572.91614</v>
      </c>
      <c r="I7" s="35">
        <v>284567345064.54254</v>
      </c>
      <c r="J7" s="35">
        <v>284567345064.54254</v>
      </c>
      <c r="K7" s="35">
        <v>285755346214.19824</v>
      </c>
      <c r="L7" s="35">
        <v>286151346597.41675</v>
      </c>
      <c r="M7" s="35">
        <v>286151346597.41675</v>
      </c>
      <c r="N7" s="40"/>
    </row>
    <row r="8" spans="2:14" ht="21" customHeight="1" x14ac:dyDescent="0.2">
      <c r="B8" s="29" t="s">
        <v>67</v>
      </c>
      <c r="C8" s="32">
        <v>48984.76617610659</v>
      </c>
      <c r="D8" s="33">
        <v>51471.844410456622</v>
      </c>
      <c r="E8" s="33">
        <v>55234.283823958656</v>
      </c>
      <c r="F8" s="33">
        <v>55033.359657291992</v>
      </c>
      <c r="G8" s="33">
        <v>54830.173823958663</v>
      </c>
      <c r="H8" s="33">
        <v>56154.700490625335</v>
      </c>
      <c r="I8" s="33">
        <v>56016.362991632639</v>
      </c>
      <c r="J8" s="33">
        <v>56016.362991632639</v>
      </c>
      <c r="K8" s="33">
        <v>56016.362991632639</v>
      </c>
      <c r="L8" s="33">
        <v>56016.362991632639</v>
      </c>
      <c r="M8" s="33">
        <v>56016.362991632639</v>
      </c>
      <c r="N8" s="39"/>
    </row>
    <row r="9" spans="2:14" ht="21" customHeight="1" thickBot="1" x14ac:dyDescent="0.25">
      <c r="B9" s="29" t="s">
        <v>68</v>
      </c>
      <c r="C9" s="36">
        <v>0.80651318506282987</v>
      </c>
      <c r="D9" s="37">
        <v>0.84746186247561472</v>
      </c>
      <c r="E9" s="37">
        <v>0.90940881520945416</v>
      </c>
      <c r="F9" s="37">
        <v>0.9061006849015163</v>
      </c>
      <c r="G9" s="37">
        <v>0.90275531722103852</v>
      </c>
      <c r="H9" s="37">
        <v>0.92456308122655606</v>
      </c>
      <c r="I9" s="37">
        <v>0.92228541358341343</v>
      </c>
      <c r="J9" s="37">
        <v>0.92228541358341343</v>
      </c>
      <c r="K9" s="37">
        <v>0.92228541358341343</v>
      </c>
      <c r="L9" s="37">
        <v>0.92228541358341343</v>
      </c>
      <c r="M9" s="37">
        <v>0.92228541358341343</v>
      </c>
      <c r="N9" s="41"/>
    </row>
    <row r="10" spans="2:14" ht="21" customHeight="1" x14ac:dyDescent="0.2"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</row>
    <row r="11" spans="2:14" ht="21" customHeight="1" x14ac:dyDescent="0.2">
      <c r="D11" s="100"/>
    </row>
    <row r="12" spans="2:14" s="6" customFormat="1" ht="21" customHeight="1" x14ac:dyDescent="0.2">
      <c r="B12" s="29"/>
      <c r="C12" s="6">
        <v>0</v>
      </c>
      <c r="D12" s="6">
        <v>1</v>
      </c>
      <c r="E12" s="6">
        <v>2</v>
      </c>
      <c r="F12" s="6">
        <v>3</v>
      </c>
      <c r="G12" s="6">
        <v>4</v>
      </c>
      <c r="H12" s="6">
        <v>5</v>
      </c>
      <c r="I12" s="6">
        <v>6</v>
      </c>
      <c r="J12" s="6">
        <v>7</v>
      </c>
      <c r="K12" s="6">
        <v>8</v>
      </c>
      <c r="L12" s="6">
        <v>9</v>
      </c>
      <c r="M12" s="6">
        <v>10</v>
      </c>
    </row>
    <row r="13" spans="2:14" s="6" customFormat="1" ht="21" customHeight="1" thickBot="1" x14ac:dyDescent="0.25">
      <c r="B13" s="29" t="s">
        <v>64</v>
      </c>
      <c r="C13" s="31">
        <v>44926</v>
      </c>
      <c r="D13" s="31">
        <v>45291</v>
      </c>
      <c r="E13" s="31">
        <v>45657</v>
      </c>
      <c r="F13" s="31">
        <v>46022</v>
      </c>
      <c r="G13" s="31">
        <v>46387</v>
      </c>
      <c r="H13" s="31">
        <v>46752</v>
      </c>
      <c r="I13" s="31">
        <v>47118</v>
      </c>
      <c r="J13" s="31">
        <v>47483</v>
      </c>
      <c r="K13" s="31">
        <v>47848</v>
      </c>
      <c r="L13" s="31">
        <v>48213</v>
      </c>
      <c r="M13" s="31">
        <v>48579</v>
      </c>
    </row>
    <row r="14" spans="2:14" ht="21" customHeight="1" x14ac:dyDescent="0.2">
      <c r="B14" s="29" t="s">
        <v>65</v>
      </c>
      <c r="C14" s="32">
        <v>205309239968.79742</v>
      </c>
      <c r="D14" s="33">
        <v>203842487833.58954</v>
      </c>
      <c r="E14" s="33">
        <v>216638026103.52374</v>
      </c>
      <c r="F14" s="33">
        <v>215898175183.52374</v>
      </c>
      <c r="G14" s="33">
        <v>214590112343.52374</v>
      </c>
      <c r="H14" s="33">
        <v>209766672183.52374</v>
      </c>
      <c r="I14" s="33">
        <v>209114994623.52374</v>
      </c>
      <c r="J14" s="33">
        <v>209114994623.52374</v>
      </c>
      <c r="K14" s="33">
        <v>209114994623.52374</v>
      </c>
      <c r="L14" s="33">
        <v>209114994623.52374</v>
      </c>
      <c r="M14" s="33">
        <v>209114994623.52374</v>
      </c>
      <c r="N14" s="38"/>
    </row>
    <row r="15" spans="2:14" ht="21" customHeight="1" x14ac:dyDescent="0.2">
      <c r="B15" s="29" t="s">
        <v>66</v>
      </c>
      <c r="C15" s="32">
        <v>43246250751.929543</v>
      </c>
      <c r="D15" s="33">
        <v>43882638908.523056</v>
      </c>
      <c r="E15" s="33">
        <v>48089700506.106056</v>
      </c>
      <c r="F15" s="33">
        <v>48375486289.324608</v>
      </c>
      <c r="G15" s="33">
        <v>48255300289.324608</v>
      </c>
      <c r="H15" s="33">
        <v>48361611488.980263</v>
      </c>
      <c r="I15" s="33">
        <v>48565437022.198814</v>
      </c>
      <c r="J15" s="33">
        <v>48565437022.198814</v>
      </c>
      <c r="K15" s="33">
        <v>49558143571.854462</v>
      </c>
      <c r="L15" s="33">
        <v>49889045755.073013</v>
      </c>
      <c r="M15" s="33">
        <v>49889045755.073013</v>
      </c>
      <c r="N15" s="39"/>
    </row>
    <row r="16" spans="2:14" s="30" customFormat="1" ht="21" customHeight="1" x14ac:dyDescent="0.2">
      <c r="B16" s="29" t="s">
        <v>20</v>
      </c>
      <c r="C16" s="34">
        <v>248555490720.72696</v>
      </c>
      <c r="D16" s="35">
        <v>247725126742.11261</v>
      </c>
      <c r="E16" s="35">
        <v>264727726609.62979</v>
      </c>
      <c r="F16" s="35">
        <v>264273661472.84836</v>
      </c>
      <c r="G16" s="35">
        <v>262845412632.84836</v>
      </c>
      <c r="H16" s="35">
        <v>258128283672.504</v>
      </c>
      <c r="I16" s="35">
        <v>257680431645.72256</v>
      </c>
      <c r="J16" s="35">
        <v>257680431645.72256</v>
      </c>
      <c r="K16" s="35">
        <v>258673138195.3782</v>
      </c>
      <c r="L16" s="35">
        <v>259004040378.59674</v>
      </c>
      <c r="M16" s="35">
        <v>259004040378.59674</v>
      </c>
      <c r="N16" s="40"/>
    </row>
    <row r="17" spans="2:14" ht="21" customHeight="1" x14ac:dyDescent="0.2">
      <c r="B17" s="29" t="s">
        <v>67</v>
      </c>
      <c r="C17" s="32">
        <v>48908.34784277327</v>
      </c>
      <c r="D17" s="33">
        <v>49187.896077123289</v>
      </c>
      <c r="E17" s="33">
        <v>52467.582991632633</v>
      </c>
      <c r="F17" s="33">
        <v>52390.85299163263</v>
      </c>
      <c r="G17" s="33">
        <v>52256.562991632636</v>
      </c>
      <c r="H17" s="33">
        <v>51268.56632496597</v>
      </c>
      <c r="I17" s="33">
        <v>51125.732991632634</v>
      </c>
      <c r="J17" s="33">
        <v>51125.232991632634</v>
      </c>
      <c r="K17" s="33">
        <v>51125.232991632634</v>
      </c>
      <c r="L17" s="33">
        <v>51125.232991632634</v>
      </c>
      <c r="M17" s="33">
        <v>51125.232991632634</v>
      </c>
      <c r="N17" s="39"/>
    </row>
    <row r="18" spans="2:14" ht="21" customHeight="1" thickBot="1" x14ac:dyDescent="0.25">
      <c r="B18" s="29" t="s">
        <v>68</v>
      </c>
      <c r="C18" s="36">
        <v>0.80525498994983757</v>
      </c>
      <c r="D18" s="37">
        <v>0.80985763184168136</v>
      </c>
      <c r="E18" s="37">
        <v>0.86385627153958866</v>
      </c>
      <c r="F18" s="37">
        <v>0.86259294496847894</v>
      </c>
      <c r="G18" s="37">
        <v>0.86038191766189331</v>
      </c>
      <c r="H18" s="37">
        <v>0.84411497590289675</v>
      </c>
      <c r="I18" s="37">
        <v>0.84176328627380548</v>
      </c>
      <c r="J18" s="37">
        <v>0.84175505398805606</v>
      </c>
      <c r="K18" s="37">
        <v>0.84175505398805606</v>
      </c>
      <c r="L18" s="37">
        <v>0.84175505398805606</v>
      </c>
      <c r="M18" s="37">
        <v>0.84175505398805606</v>
      </c>
      <c r="N18" s="41"/>
    </row>
    <row r="79" spans="5:5" x14ac:dyDescent="0.2">
      <c r="E79" s="56"/>
    </row>
  </sheetData>
  <printOptions horizontalCentered="1"/>
  <pageMargins left="0.7" right="0.7" top="0.2" bottom="0.2" header="0.3" footer="0.3"/>
  <pageSetup paperSize="9" scale="53" orientation="landscape" horizontalDpi="0" verticalDpi="0"/>
  <headerFooter>
    <oddHeader>&amp;A</oddHeader>
  </headerFooter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F5ADDBC2-ACC9-B94C-98B6-A764A5F6C6AF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Office'!C5:M5</xm:f>
              <xm:sqref>N5</xm:sqref>
            </x14:sparkline>
            <x14:sparkline>
              <xm:f>'TE Office'!C6:M6</xm:f>
              <xm:sqref>N6</xm:sqref>
            </x14:sparkline>
            <x14:sparkline>
              <xm:f>'TE Office'!C7:M7</xm:f>
              <xm:sqref>N7</xm:sqref>
            </x14:sparkline>
            <x14:sparkline>
              <xm:f>'TE Office'!C8:M8</xm:f>
              <xm:sqref>N8</xm:sqref>
            </x14:sparkline>
            <x14:sparkline>
              <xm:f>'TE Office'!C9:M9</xm:f>
              <xm:sqref>N9</xm:sqref>
            </x14:sparkline>
          </x14:sparklines>
        </x14:sparklineGroup>
        <x14:sparklineGroup displayEmptyCellsAs="gap" xr2:uid="{FAB1A9B4-5C50-4E42-8C73-D8DA4DBABC2E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Office'!C14:M14</xm:f>
              <xm:sqref>N14</xm:sqref>
            </x14:sparkline>
            <x14:sparkline>
              <xm:f>'TE Office'!C15:M15</xm:f>
              <xm:sqref>N15</xm:sqref>
            </x14:sparkline>
            <x14:sparkline>
              <xm:f>'TE Office'!C16:M16</xm:f>
              <xm:sqref>N16</xm:sqref>
            </x14:sparkline>
            <x14:sparkline>
              <xm:f>'TE Office'!C17:M17</xm:f>
              <xm:sqref>N17</xm:sqref>
            </x14:sparkline>
            <x14:sparkline>
              <xm:f>'TE Office'!C18:M18</xm:f>
              <xm:sqref>N18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5DEC7-2209-0F42-BD2A-95C3CA7667E1}">
  <sheetPr>
    <pageSetUpPr fitToPage="1"/>
  </sheetPr>
  <dimension ref="B3:N55"/>
  <sheetViews>
    <sheetView showGridLines="0" topLeftCell="A42" zoomScaleNormal="100" workbookViewId="0">
      <selection activeCell="F55" sqref="F55"/>
    </sheetView>
  </sheetViews>
  <sheetFormatPr baseColWidth="10" defaultRowHeight="16" x14ac:dyDescent="0.2"/>
  <cols>
    <col min="1" max="1" width="10.83203125" style="1"/>
    <col min="2" max="2" width="10.83203125" style="29"/>
    <col min="3" max="3" width="17.83203125" style="1" customWidth="1"/>
    <col min="4" max="4" width="18.83203125" style="1" customWidth="1"/>
    <col min="5" max="13" width="17.83203125" style="1" customWidth="1"/>
    <col min="14" max="16384" width="10.83203125" style="1"/>
  </cols>
  <sheetData>
    <row r="3" spans="2:14" ht="21" customHeight="1" x14ac:dyDescent="0.2">
      <c r="C3" s="6">
        <v>0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  <c r="N3" s="6"/>
    </row>
    <row r="4" spans="2:14" ht="21" customHeight="1" thickBot="1" x14ac:dyDescent="0.25">
      <c r="B4" s="29" t="s">
        <v>64</v>
      </c>
      <c r="C4" s="31">
        <v>44926</v>
      </c>
      <c r="D4" s="31">
        <v>45291</v>
      </c>
      <c r="E4" s="31">
        <v>45657</v>
      </c>
      <c r="F4" s="31">
        <v>46022</v>
      </c>
      <c r="G4" s="31">
        <v>46387</v>
      </c>
      <c r="H4" s="31">
        <v>46752</v>
      </c>
      <c r="I4" s="31">
        <v>47118</v>
      </c>
      <c r="J4" s="31">
        <v>47483</v>
      </c>
      <c r="K4" s="31">
        <v>47848</v>
      </c>
      <c r="L4" s="31">
        <v>48213</v>
      </c>
      <c r="M4" s="31">
        <v>48579</v>
      </c>
      <c r="N4" s="6"/>
    </row>
    <row r="5" spans="2:14" ht="21" customHeight="1" x14ac:dyDescent="0.2">
      <c r="B5" s="29" t="s">
        <v>65</v>
      </c>
      <c r="C5" s="32">
        <v>205647908168.79742</v>
      </c>
      <c r="D5" s="33">
        <v>212032230069.90952</v>
      </c>
      <c r="E5" s="33">
        <v>227191931124.88779</v>
      </c>
      <c r="F5" s="33">
        <v>227465547284.88779</v>
      </c>
      <c r="G5" s="33">
        <v>226782724284.88779</v>
      </c>
      <c r="H5" s="33">
        <v>234112377164.88779</v>
      </c>
      <c r="I5" s="33">
        <v>233453759109.84375</v>
      </c>
      <c r="J5" s="33">
        <v>233453759109.84375</v>
      </c>
      <c r="K5" s="33">
        <v>233453759109.84375</v>
      </c>
      <c r="L5" s="33">
        <v>233453759109.84375</v>
      </c>
      <c r="M5" s="33">
        <v>233453759109.84375</v>
      </c>
      <c r="N5" s="38"/>
    </row>
    <row r="6" spans="2:14" ht="21" customHeight="1" x14ac:dyDescent="0.2">
      <c r="B6" s="29" t="s">
        <v>66</v>
      </c>
      <c r="C6" s="32">
        <v>43304072151.929543</v>
      </c>
      <c r="D6" s="33">
        <v>45569654280.523056</v>
      </c>
      <c r="E6" s="33">
        <v>50196804078.714592</v>
      </c>
      <c r="F6" s="33">
        <v>50700968574.41803</v>
      </c>
      <c r="G6" s="33">
        <v>50703218574.41803</v>
      </c>
      <c r="H6" s="33">
        <v>53284636661.528358</v>
      </c>
      <c r="I6" s="33">
        <v>53557182358.198814</v>
      </c>
      <c r="J6" s="33">
        <v>53557182358.198814</v>
      </c>
      <c r="K6" s="33">
        <v>54765116257.854462</v>
      </c>
      <c r="L6" s="33">
        <v>55167760891.073013</v>
      </c>
      <c r="M6" s="33">
        <v>55167760891.073013</v>
      </c>
      <c r="N6" s="39"/>
    </row>
    <row r="7" spans="2:14" ht="21" customHeight="1" x14ac:dyDescent="0.2">
      <c r="B7" s="29" t="s">
        <v>20</v>
      </c>
      <c r="C7" s="34">
        <v>248951980320.72696</v>
      </c>
      <c r="D7" s="35">
        <v>257601884350.43256</v>
      </c>
      <c r="E7" s="35">
        <v>277388735203.60236</v>
      </c>
      <c r="F7" s="35">
        <v>278166515859.30579</v>
      </c>
      <c r="G7" s="35">
        <v>277485942859.30579</v>
      </c>
      <c r="H7" s="35">
        <v>287397013826.41614</v>
      </c>
      <c r="I7" s="35">
        <v>287010941468.04254</v>
      </c>
      <c r="J7" s="35">
        <v>287010941468.04254</v>
      </c>
      <c r="K7" s="35">
        <v>288218875367.69824</v>
      </c>
      <c r="L7" s="35">
        <v>288621520000.91675</v>
      </c>
      <c r="M7" s="35">
        <v>288621520000.91675</v>
      </c>
      <c r="N7" s="40"/>
    </row>
    <row r="8" spans="2:14" ht="21" customHeight="1" x14ac:dyDescent="0.2">
      <c r="B8" s="29" t="s">
        <v>67</v>
      </c>
      <c r="C8" s="32">
        <v>48983.76617610659</v>
      </c>
      <c r="D8" s="33">
        <v>51036.255243789958</v>
      </c>
      <c r="E8" s="33">
        <v>54798.683823958658</v>
      </c>
      <c r="F8" s="33">
        <v>54936.603823958663</v>
      </c>
      <c r="G8" s="33">
        <v>54939.103823958663</v>
      </c>
      <c r="H8" s="33">
        <v>56457.980490625334</v>
      </c>
      <c r="I8" s="33">
        <v>56319.642991632638</v>
      </c>
      <c r="J8" s="33">
        <v>56319.642991632638</v>
      </c>
      <c r="K8" s="33">
        <v>56319.642991632638</v>
      </c>
      <c r="L8" s="33">
        <v>56319.642991632638</v>
      </c>
      <c r="M8" s="33">
        <v>56319.642991632638</v>
      </c>
      <c r="N8" s="39"/>
    </row>
    <row r="9" spans="2:14" ht="21" customHeight="1" thickBot="1" x14ac:dyDescent="0.25">
      <c r="B9" s="29" t="s">
        <v>68</v>
      </c>
      <c r="C9" s="36">
        <v>0.80649672049133092</v>
      </c>
      <c r="D9" s="37">
        <v>0.84029007349689022</v>
      </c>
      <c r="E9" s="37">
        <v>0.90223684786453839</v>
      </c>
      <c r="F9" s="37">
        <v>0.90450764156566521</v>
      </c>
      <c r="G9" s="37">
        <v>0.90454880299441243</v>
      </c>
      <c r="H9" s="37">
        <v>0.92955645647073892</v>
      </c>
      <c r="I9" s="37">
        <v>0.92727878882759629</v>
      </c>
      <c r="J9" s="37">
        <v>0.92727878882759629</v>
      </c>
      <c r="K9" s="37">
        <v>0.92727878882759629</v>
      </c>
      <c r="L9" s="37">
        <v>0.92727878882759629</v>
      </c>
      <c r="M9" s="37">
        <v>0.92727878882759629</v>
      </c>
      <c r="N9" s="41"/>
    </row>
    <row r="18" spans="2:14" s="6" customFormat="1" ht="21" customHeight="1" x14ac:dyDescent="0.2">
      <c r="B18" s="29"/>
      <c r="C18" s="6">
        <v>0</v>
      </c>
      <c r="D18" s="6">
        <v>1</v>
      </c>
      <c r="E18" s="6">
        <v>2</v>
      </c>
      <c r="F18" s="6">
        <v>3</v>
      </c>
      <c r="G18" s="6">
        <v>4</v>
      </c>
      <c r="H18" s="6">
        <v>5</v>
      </c>
      <c r="I18" s="6">
        <v>6</v>
      </c>
      <c r="J18" s="6">
        <v>7</v>
      </c>
      <c r="K18" s="6">
        <v>8</v>
      </c>
      <c r="L18" s="6">
        <v>9</v>
      </c>
      <c r="M18" s="6">
        <v>10</v>
      </c>
    </row>
    <row r="19" spans="2:14" s="6" customFormat="1" ht="21" customHeight="1" thickBot="1" x14ac:dyDescent="0.25">
      <c r="B19" s="29" t="s">
        <v>64</v>
      </c>
      <c r="C19" s="31">
        <v>44926</v>
      </c>
      <c r="D19" s="31">
        <v>45291</v>
      </c>
      <c r="E19" s="31">
        <v>45657</v>
      </c>
      <c r="F19" s="31">
        <v>46022</v>
      </c>
      <c r="G19" s="31">
        <v>46387</v>
      </c>
      <c r="H19" s="31">
        <v>46752</v>
      </c>
      <c r="I19" s="31">
        <v>47118</v>
      </c>
      <c r="J19" s="31">
        <v>47483</v>
      </c>
      <c r="K19" s="31">
        <v>47848</v>
      </c>
      <c r="L19" s="31">
        <v>48213</v>
      </c>
      <c r="M19" s="31">
        <v>48579</v>
      </c>
    </row>
    <row r="20" spans="2:14" ht="21" customHeight="1" x14ac:dyDescent="0.2">
      <c r="B20" s="29" t="s">
        <v>65</v>
      </c>
      <c r="C20" s="32">
        <v>205647908168.79742</v>
      </c>
      <c r="D20" s="33">
        <v>212032230069.90952</v>
      </c>
      <c r="E20" s="33">
        <v>226133977884.88779</v>
      </c>
      <c r="F20" s="33">
        <v>226054942964.88779</v>
      </c>
      <c r="G20" s="33">
        <v>225292846164.88779</v>
      </c>
      <c r="H20" s="33">
        <v>232154544244.88779</v>
      </c>
      <c r="I20" s="33">
        <v>231460133289.84375</v>
      </c>
      <c r="J20" s="33">
        <v>231460133289.84375</v>
      </c>
      <c r="K20" s="33">
        <v>231460133289.84375</v>
      </c>
      <c r="L20" s="33">
        <v>231460133289.84375</v>
      </c>
      <c r="M20" s="33">
        <v>231460133289.84375</v>
      </c>
      <c r="N20" s="38"/>
    </row>
    <row r="21" spans="2:14" ht="21" customHeight="1" x14ac:dyDescent="0.2">
      <c r="B21" s="29" t="s">
        <v>66</v>
      </c>
      <c r="C21" s="32">
        <v>43304072151.929543</v>
      </c>
      <c r="D21" s="33">
        <v>45569654280.523056</v>
      </c>
      <c r="E21" s="33">
        <v>49989633078.714592</v>
      </c>
      <c r="F21" s="33">
        <v>50424740574.41803</v>
      </c>
      <c r="G21" s="33">
        <v>50426990574.41803</v>
      </c>
      <c r="H21" s="33">
        <v>52994597261.528358</v>
      </c>
      <c r="I21" s="33">
        <v>53262539158.198814</v>
      </c>
      <c r="J21" s="33">
        <v>53262539158.198814</v>
      </c>
      <c r="K21" s="33">
        <v>54456661657.854462</v>
      </c>
      <c r="L21" s="33">
        <v>54854702491.073013</v>
      </c>
      <c r="M21" s="33">
        <v>54854702491.073013</v>
      </c>
      <c r="N21" s="39"/>
    </row>
    <row r="22" spans="2:14" s="30" customFormat="1" ht="21" customHeight="1" x14ac:dyDescent="0.2">
      <c r="B22" s="29" t="s">
        <v>20</v>
      </c>
      <c r="C22" s="34">
        <v>248951980320.72696</v>
      </c>
      <c r="D22" s="35">
        <v>257601884350.43256</v>
      </c>
      <c r="E22" s="35">
        <v>276123610963.60236</v>
      </c>
      <c r="F22" s="35">
        <v>276479683539.30579</v>
      </c>
      <c r="G22" s="35">
        <v>275719836739.30579</v>
      </c>
      <c r="H22" s="35">
        <v>285149141506.41614</v>
      </c>
      <c r="I22" s="35">
        <v>284722672448.04254</v>
      </c>
      <c r="J22" s="35">
        <v>284722672448.04254</v>
      </c>
      <c r="K22" s="35">
        <v>285916794947.69824</v>
      </c>
      <c r="L22" s="35">
        <v>286314835780.91675</v>
      </c>
      <c r="M22" s="35">
        <v>286314835780.91675</v>
      </c>
      <c r="N22" s="40"/>
    </row>
    <row r="23" spans="2:14" ht="21" customHeight="1" x14ac:dyDescent="0.2">
      <c r="B23" s="29" t="s">
        <v>67</v>
      </c>
      <c r="C23" s="32">
        <v>48982.76617610659</v>
      </c>
      <c r="D23" s="33">
        <v>51035.255243789958</v>
      </c>
      <c r="E23" s="33">
        <v>54567.49382395867</v>
      </c>
      <c r="F23" s="33">
        <v>54628.683823958658</v>
      </c>
      <c r="G23" s="33">
        <v>54631.183823958658</v>
      </c>
      <c r="H23" s="33">
        <v>56150.060490625328</v>
      </c>
      <c r="I23" s="33">
        <v>56011.72299163264</v>
      </c>
      <c r="J23" s="33">
        <v>56011.72299163264</v>
      </c>
      <c r="K23" s="33">
        <v>56011.72299163264</v>
      </c>
      <c r="L23" s="33">
        <v>56011.72299163264</v>
      </c>
      <c r="M23" s="33">
        <v>56011.72299163264</v>
      </c>
      <c r="N23" s="39"/>
    </row>
    <row r="24" spans="2:14" ht="21" customHeight="1" thickBot="1" x14ac:dyDescent="0.25">
      <c r="B24" s="29" t="s">
        <v>68</v>
      </c>
      <c r="C24" s="36">
        <v>0.80648025591983208</v>
      </c>
      <c r="D24" s="37">
        <v>0.84027360892539138</v>
      </c>
      <c r="E24" s="37">
        <v>0.89843040357971071</v>
      </c>
      <c r="F24" s="37">
        <v>0.89943787070972747</v>
      </c>
      <c r="G24" s="37">
        <v>0.89947903213847469</v>
      </c>
      <c r="H24" s="37">
        <v>0.92448668561480107</v>
      </c>
      <c r="I24" s="37">
        <v>0.92220901797165855</v>
      </c>
      <c r="J24" s="37">
        <v>0.92220901797165855</v>
      </c>
      <c r="K24" s="37">
        <v>0.92220901797165855</v>
      </c>
      <c r="L24" s="37">
        <v>0.92220901797165855</v>
      </c>
      <c r="M24" s="37">
        <v>0.92220901797165855</v>
      </c>
      <c r="N24" s="41"/>
    </row>
    <row r="25" spans="2:14" ht="21" customHeight="1" x14ac:dyDescent="0.2"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</row>
    <row r="28" spans="2:14" s="6" customFormat="1" ht="21" customHeight="1" thickBot="1" x14ac:dyDescent="0.25">
      <c r="B28" s="29" t="s">
        <v>64</v>
      </c>
      <c r="C28" s="31">
        <v>44926</v>
      </c>
      <c r="D28" s="31">
        <v>45291</v>
      </c>
      <c r="E28" s="31">
        <v>45657</v>
      </c>
      <c r="F28" s="31">
        <v>46022</v>
      </c>
      <c r="G28" s="31">
        <v>46387</v>
      </c>
      <c r="H28" s="31">
        <v>46752</v>
      </c>
      <c r="I28" s="31">
        <v>47118</v>
      </c>
      <c r="J28" s="31">
        <v>47483</v>
      </c>
      <c r="K28" s="31">
        <v>47848</v>
      </c>
      <c r="L28" s="31">
        <v>48213</v>
      </c>
      <c r="M28" s="31">
        <v>48579</v>
      </c>
    </row>
    <row r="29" spans="2:14" ht="21" customHeight="1" x14ac:dyDescent="0.2">
      <c r="B29" s="29" t="s">
        <v>65</v>
      </c>
      <c r="C29" s="32">
        <v>205647908168.79742</v>
      </c>
      <c r="D29" s="33">
        <v>212032230069.90952</v>
      </c>
      <c r="E29" s="33">
        <v>226133977884.88779</v>
      </c>
      <c r="F29" s="33">
        <v>226054942964.88779</v>
      </c>
      <c r="G29" s="33">
        <v>225292846164.88779</v>
      </c>
      <c r="H29" s="33">
        <v>232154544244.88779</v>
      </c>
      <c r="I29" s="33">
        <v>231460133289.84375</v>
      </c>
      <c r="J29" s="33">
        <v>231460133289.84375</v>
      </c>
      <c r="K29" s="33">
        <v>231460133289.84375</v>
      </c>
      <c r="L29" s="33">
        <v>231460133289.84375</v>
      </c>
      <c r="M29" s="33">
        <v>231460133289.84375</v>
      </c>
      <c r="N29" s="38"/>
    </row>
    <row r="30" spans="2:14" ht="21" customHeight="1" x14ac:dyDescent="0.2">
      <c r="B30" s="29" t="s">
        <v>66</v>
      </c>
      <c r="C30" s="32">
        <v>43304072151.929543</v>
      </c>
      <c r="D30" s="33">
        <v>45569654280.523056</v>
      </c>
      <c r="E30" s="33">
        <v>49989633078.714592</v>
      </c>
      <c r="F30" s="33">
        <v>50424740574.41803</v>
      </c>
      <c r="G30" s="33">
        <v>50426990574.41803</v>
      </c>
      <c r="H30" s="33">
        <v>52994597261.528358</v>
      </c>
      <c r="I30" s="33">
        <v>53262539158.198814</v>
      </c>
      <c r="J30" s="33">
        <v>53262539158.198814</v>
      </c>
      <c r="K30" s="33">
        <v>54456661657.854462</v>
      </c>
      <c r="L30" s="33">
        <v>54854702491.073013</v>
      </c>
      <c r="M30" s="33">
        <v>54854702491.073013</v>
      </c>
      <c r="N30" s="39"/>
    </row>
    <row r="31" spans="2:14" s="30" customFormat="1" ht="21" customHeight="1" x14ac:dyDescent="0.2">
      <c r="B31" s="29" t="s">
        <v>20</v>
      </c>
      <c r="C31" s="34">
        <v>248951980320.72696</v>
      </c>
      <c r="D31" s="35">
        <v>257601884350.43256</v>
      </c>
      <c r="E31" s="35">
        <v>276123610963.60236</v>
      </c>
      <c r="F31" s="35">
        <v>276479683539.30579</v>
      </c>
      <c r="G31" s="35">
        <v>275719836739.30579</v>
      </c>
      <c r="H31" s="35">
        <v>285149141506.41614</v>
      </c>
      <c r="I31" s="35">
        <v>284722672448.04254</v>
      </c>
      <c r="J31" s="35">
        <v>284722672448.04254</v>
      </c>
      <c r="K31" s="35">
        <v>285916794947.69824</v>
      </c>
      <c r="L31" s="35">
        <v>286314835780.91675</v>
      </c>
      <c r="M31" s="35">
        <v>286314835780.91675</v>
      </c>
      <c r="N31" s="40"/>
    </row>
    <row r="32" spans="2:14" ht="21" customHeight="1" x14ac:dyDescent="0.2">
      <c r="B32" s="29" t="s">
        <v>67</v>
      </c>
      <c r="C32" s="32">
        <v>48982.76617610659</v>
      </c>
      <c r="D32" s="33">
        <v>51035.255243789958</v>
      </c>
      <c r="E32" s="33">
        <v>54567.49382395867</v>
      </c>
      <c r="F32" s="33">
        <v>54628.683823958658</v>
      </c>
      <c r="G32" s="33">
        <v>54631.183823958658</v>
      </c>
      <c r="H32" s="33">
        <v>56150.060490625328</v>
      </c>
      <c r="I32" s="33">
        <v>56011.72299163264</v>
      </c>
      <c r="J32" s="33">
        <v>56011.72299163264</v>
      </c>
      <c r="K32" s="33">
        <v>56011.72299163264</v>
      </c>
      <c r="L32" s="33">
        <v>56011.72299163264</v>
      </c>
      <c r="M32" s="33">
        <v>56011.72299163264</v>
      </c>
      <c r="N32" s="39"/>
    </row>
    <row r="33" spans="2:14" ht="21" customHeight="1" thickBot="1" x14ac:dyDescent="0.25">
      <c r="B33" s="29" t="s">
        <v>68</v>
      </c>
      <c r="C33" s="36">
        <v>0.80648025591983208</v>
      </c>
      <c r="D33" s="37">
        <v>0.84027360892539138</v>
      </c>
      <c r="E33" s="37">
        <v>0.89843040357971071</v>
      </c>
      <c r="F33" s="37">
        <v>0.89943787070972747</v>
      </c>
      <c r="G33" s="37">
        <v>0.89947903213847469</v>
      </c>
      <c r="H33" s="37">
        <v>0.92448668561480107</v>
      </c>
      <c r="I33" s="37">
        <v>0.92220901797165855</v>
      </c>
      <c r="J33" s="37">
        <v>0.92220901797165855</v>
      </c>
      <c r="K33" s="37">
        <v>0.92220901797165855</v>
      </c>
      <c r="L33" s="37">
        <v>0.92220901797165855</v>
      </c>
      <c r="M33" s="37">
        <v>0.92220901797165855</v>
      </c>
      <c r="N33" s="41"/>
    </row>
    <row r="36" spans="2:14" x14ac:dyDescent="0.2">
      <c r="C36" s="100">
        <f>C20-C29</f>
        <v>0</v>
      </c>
      <c r="D36" s="100">
        <f t="shared" ref="D36:M36" si="0">D20-D29</f>
        <v>0</v>
      </c>
      <c r="E36" s="100">
        <f t="shared" si="0"/>
        <v>0</v>
      </c>
      <c r="F36" s="100">
        <f t="shared" si="0"/>
        <v>0</v>
      </c>
      <c r="G36" s="100">
        <f t="shared" si="0"/>
        <v>0</v>
      </c>
      <c r="H36" s="100">
        <f t="shared" si="0"/>
        <v>0</v>
      </c>
      <c r="I36" s="100">
        <f t="shared" si="0"/>
        <v>0</v>
      </c>
      <c r="J36" s="100">
        <f t="shared" si="0"/>
        <v>0</v>
      </c>
      <c r="K36" s="100">
        <f t="shared" si="0"/>
        <v>0</v>
      </c>
      <c r="L36" s="100">
        <f t="shared" si="0"/>
        <v>0</v>
      </c>
      <c r="M36" s="100">
        <f t="shared" si="0"/>
        <v>0</v>
      </c>
    </row>
    <row r="37" spans="2:14" x14ac:dyDescent="0.2">
      <c r="C37" s="100">
        <f t="shared" ref="C37:M41" si="1">C21-C30</f>
        <v>0</v>
      </c>
      <c r="D37" s="100">
        <f t="shared" si="1"/>
        <v>0</v>
      </c>
      <c r="E37" s="100">
        <f t="shared" si="1"/>
        <v>0</v>
      </c>
      <c r="F37" s="100">
        <f t="shared" si="1"/>
        <v>0</v>
      </c>
      <c r="G37" s="100">
        <f t="shared" si="1"/>
        <v>0</v>
      </c>
      <c r="H37" s="100">
        <f t="shared" si="1"/>
        <v>0</v>
      </c>
      <c r="I37" s="100">
        <f t="shared" si="1"/>
        <v>0</v>
      </c>
      <c r="J37" s="100">
        <f t="shared" si="1"/>
        <v>0</v>
      </c>
      <c r="K37" s="100">
        <f t="shared" si="1"/>
        <v>0</v>
      </c>
      <c r="L37" s="100">
        <f t="shared" si="1"/>
        <v>0</v>
      </c>
      <c r="M37" s="100">
        <f t="shared" si="1"/>
        <v>0</v>
      </c>
    </row>
    <row r="38" spans="2:14" x14ac:dyDescent="0.2">
      <c r="C38" s="100">
        <f t="shared" si="1"/>
        <v>0</v>
      </c>
      <c r="D38" s="100">
        <f t="shared" si="1"/>
        <v>0</v>
      </c>
      <c r="E38" s="100">
        <f t="shared" si="1"/>
        <v>0</v>
      </c>
      <c r="F38" s="100">
        <f t="shared" si="1"/>
        <v>0</v>
      </c>
      <c r="G38" s="100">
        <f t="shared" si="1"/>
        <v>0</v>
      </c>
      <c r="H38" s="100">
        <f t="shared" si="1"/>
        <v>0</v>
      </c>
      <c r="I38" s="100">
        <f t="shared" si="1"/>
        <v>0</v>
      </c>
      <c r="J38" s="100">
        <f t="shared" si="1"/>
        <v>0</v>
      </c>
      <c r="K38" s="100">
        <f t="shared" si="1"/>
        <v>0</v>
      </c>
      <c r="L38" s="100">
        <f t="shared" si="1"/>
        <v>0</v>
      </c>
      <c r="M38" s="100">
        <f t="shared" si="1"/>
        <v>0</v>
      </c>
    </row>
    <row r="39" spans="2:14" x14ac:dyDescent="0.2">
      <c r="C39" s="100">
        <f t="shared" si="1"/>
        <v>0</v>
      </c>
      <c r="D39" s="100">
        <f t="shared" si="1"/>
        <v>0</v>
      </c>
      <c r="E39" s="100">
        <f t="shared" si="1"/>
        <v>0</v>
      </c>
      <c r="F39" s="100">
        <f t="shared" si="1"/>
        <v>0</v>
      </c>
      <c r="G39" s="100">
        <f t="shared" si="1"/>
        <v>0</v>
      </c>
      <c r="H39" s="100">
        <f t="shared" si="1"/>
        <v>0</v>
      </c>
      <c r="I39" s="100">
        <f t="shared" si="1"/>
        <v>0</v>
      </c>
      <c r="J39" s="100">
        <f t="shared" si="1"/>
        <v>0</v>
      </c>
      <c r="K39" s="100">
        <f t="shared" si="1"/>
        <v>0</v>
      </c>
      <c r="L39" s="100">
        <f t="shared" si="1"/>
        <v>0</v>
      </c>
      <c r="M39" s="100">
        <f t="shared" si="1"/>
        <v>0</v>
      </c>
    </row>
    <row r="40" spans="2:14" x14ac:dyDescent="0.2">
      <c r="C40" s="100">
        <f t="shared" si="1"/>
        <v>0</v>
      </c>
      <c r="D40" s="100">
        <f t="shared" si="1"/>
        <v>0</v>
      </c>
      <c r="E40" s="100">
        <f t="shared" si="1"/>
        <v>0</v>
      </c>
      <c r="F40" s="100">
        <f t="shared" si="1"/>
        <v>0</v>
      </c>
      <c r="G40" s="100">
        <f t="shared" si="1"/>
        <v>0</v>
      </c>
      <c r="H40" s="100">
        <f t="shared" si="1"/>
        <v>0</v>
      </c>
      <c r="I40" s="100">
        <f t="shared" si="1"/>
        <v>0</v>
      </c>
      <c r="J40" s="100">
        <f t="shared" si="1"/>
        <v>0</v>
      </c>
      <c r="K40" s="100">
        <f t="shared" si="1"/>
        <v>0</v>
      </c>
      <c r="L40" s="100">
        <f t="shared" si="1"/>
        <v>0</v>
      </c>
      <c r="M40" s="100">
        <f t="shared" si="1"/>
        <v>0</v>
      </c>
    </row>
    <row r="41" spans="2:14" x14ac:dyDescent="0.2">
      <c r="C41" s="100">
        <f t="shared" si="1"/>
        <v>0</v>
      </c>
      <c r="D41" s="100">
        <f t="shared" si="1"/>
        <v>0</v>
      </c>
      <c r="E41" s="100">
        <f t="shared" si="1"/>
        <v>0</v>
      </c>
      <c r="F41" s="100">
        <f t="shared" si="1"/>
        <v>0</v>
      </c>
      <c r="G41" s="100">
        <f t="shared" si="1"/>
        <v>0</v>
      </c>
      <c r="H41" s="100">
        <f t="shared" si="1"/>
        <v>0</v>
      </c>
      <c r="I41" s="100">
        <f t="shared" si="1"/>
        <v>0</v>
      </c>
      <c r="J41" s="100">
        <f t="shared" si="1"/>
        <v>0</v>
      </c>
      <c r="K41" s="100">
        <f t="shared" si="1"/>
        <v>0</v>
      </c>
      <c r="L41" s="100">
        <f t="shared" si="1"/>
        <v>0</v>
      </c>
      <c r="M41" s="100">
        <f t="shared" si="1"/>
        <v>0</v>
      </c>
    </row>
    <row r="45" spans="2:14" s="6" customFormat="1" ht="21" customHeight="1" x14ac:dyDescent="0.2">
      <c r="B45" s="29"/>
      <c r="C45" s="6">
        <v>0</v>
      </c>
      <c r="D45" s="6">
        <v>1</v>
      </c>
      <c r="E45" s="6">
        <v>2</v>
      </c>
      <c r="F45" s="6">
        <v>3</v>
      </c>
      <c r="G45" s="6">
        <v>4</v>
      </c>
      <c r="H45" s="6">
        <v>5</v>
      </c>
      <c r="I45" s="6">
        <v>6</v>
      </c>
      <c r="J45" s="6">
        <v>7</v>
      </c>
      <c r="K45" s="6">
        <v>8</v>
      </c>
      <c r="L45" s="6">
        <v>9</v>
      </c>
      <c r="M45" s="6">
        <v>10</v>
      </c>
    </row>
    <row r="46" spans="2:14" s="6" customFormat="1" ht="21" customHeight="1" thickBot="1" x14ac:dyDescent="0.25">
      <c r="B46" s="29" t="s">
        <v>64</v>
      </c>
      <c r="C46" s="31">
        <v>44926</v>
      </c>
      <c r="D46" s="31">
        <v>45291</v>
      </c>
      <c r="E46" s="31">
        <v>45657</v>
      </c>
      <c r="F46" s="31">
        <v>46022</v>
      </c>
      <c r="G46" s="31">
        <v>46387</v>
      </c>
      <c r="H46" s="31">
        <v>46752</v>
      </c>
      <c r="I46" s="31">
        <v>47118</v>
      </c>
      <c r="J46" s="31">
        <v>47483</v>
      </c>
      <c r="K46" s="31">
        <v>47848</v>
      </c>
      <c r="L46" s="31">
        <v>48213</v>
      </c>
      <c r="M46" s="31">
        <v>48579</v>
      </c>
    </row>
    <row r="47" spans="2:14" ht="21" customHeight="1" x14ac:dyDescent="0.2">
      <c r="B47" s="29" t="s">
        <v>65</v>
      </c>
      <c r="C47" s="32">
        <v>205647908168.79742</v>
      </c>
      <c r="D47" s="33">
        <v>212187707929.90952</v>
      </c>
      <c r="E47" s="33">
        <v>226103861604.88779</v>
      </c>
      <c r="F47" s="33">
        <v>225403253434.88779</v>
      </c>
      <c r="G47" s="33">
        <v>224583343884.88779</v>
      </c>
      <c r="H47" s="33">
        <v>231445041964.88779</v>
      </c>
      <c r="I47" s="33">
        <v>230750631009.84375</v>
      </c>
      <c r="J47" s="33">
        <v>230750631009.84375</v>
      </c>
      <c r="K47" s="33">
        <v>230750631009.84375</v>
      </c>
      <c r="L47" s="33">
        <v>230750631009.84375</v>
      </c>
      <c r="M47" s="33">
        <v>230750631009.84375</v>
      </c>
      <c r="N47" s="38"/>
    </row>
    <row r="48" spans="2:14" ht="21" customHeight="1" x14ac:dyDescent="0.2">
      <c r="B48" s="29" t="s">
        <v>66</v>
      </c>
      <c r="C48" s="32">
        <v>43304072151.929543</v>
      </c>
      <c r="D48" s="33">
        <v>45617264780.523056</v>
      </c>
      <c r="E48" s="33">
        <v>49989633078.714592</v>
      </c>
      <c r="F48" s="33">
        <v>50312515824.41803</v>
      </c>
      <c r="G48" s="33">
        <v>50304563574.41803</v>
      </c>
      <c r="H48" s="33">
        <v>52866048911.528358</v>
      </c>
      <c r="I48" s="33">
        <v>53131950358.198814</v>
      </c>
      <c r="J48" s="33">
        <v>53131950358.198814</v>
      </c>
      <c r="K48" s="33">
        <v>54319951507.854462</v>
      </c>
      <c r="L48" s="33">
        <v>54715951891.073013</v>
      </c>
      <c r="M48" s="33">
        <v>54715951891.073013</v>
      </c>
      <c r="N48" s="39"/>
    </row>
    <row r="49" spans="2:14" s="30" customFormat="1" ht="21" customHeight="1" x14ac:dyDescent="0.2">
      <c r="B49" s="29" t="s">
        <v>20</v>
      </c>
      <c r="C49" s="34">
        <v>248951980320.72696</v>
      </c>
      <c r="D49" s="35">
        <v>257804972710.43256</v>
      </c>
      <c r="E49" s="35">
        <v>276093494683.60236</v>
      </c>
      <c r="F49" s="35">
        <v>275715769259.30579</v>
      </c>
      <c r="G49" s="35">
        <v>274887907459.30579</v>
      </c>
      <c r="H49" s="35">
        <v>284311090876.41614</v>
      </c>
      <c r="I49" s="35">
        <v>283882581368.04254</v>
      </c>
      <c r="J49" s="35">
        <v>283882581368.04254</v>
      </c>
      <c r="K49" s="35">
        <v>285070582517.69824</v>
      </c>
      <c r="L49" s="35">
        <v>285466582900.91675</v>
      </c>
      <c r="M49" s="35">
        <v>285466582900.91675</v>
      </c>
      <c r="N49" s="40"/>
    </row>
    <row r="50" spans="2:14" ht="21" customHeight="1" x14ac:dyDescent="0.2">
      <c r="B50" s="29" t="s">
        <v>67</v>
      </c>
      <c r="C50" s="32">
        <v>48982.76617610659</v>
      </c>
      <c r="D50" s="33">
        <v>51091.934410456619</v>
      </c>
      <c r="E50" s="33">
        <v>54567.49382395867</v>
      </c>
      <c r="F50" s="33">
        <v>54503.989657291997</v>
      </c>
      <c r="G50" s="33">
        <v>54495.153823958673</v>
      </c>
      <c r="H50" s="33">
        <v>56014.03049062533</v>
      </c>
      <c r="I50" s="33">
        <v>55875.692991632641</v>
      </c>
      <c r="J50" s="33">
        <v>55875.692991632641</v>
      </c>
      <c r="K50" s="33">
        <v>55875.692991632641</v>
      </c>
      <c r="L50" s="33">
        <v>55875.692991632641</v>
      </c>
      <c r="M50" s="33">
        <v>55875.692991632641</v>
      </c>
      <c r="N50" s="39"/>
    </row>
    <row r="51" spans="2:14" ht="21" customHeight="1" thickBot="1" x14ac:dyDescent="0.25">
      <c r="B51" s="29" t="s">
        <v>68</v>
      </c>
      <c r="C51" s="36">
        <v>0.80648025591983208</v>
      </c>
      <c r="D51" s="37">
        <v>0.84120680711747198</v>
      </c>
      <c r="E51" s="37">
        <v>0.89843040357971071</v>
      </c>
      <c r="F51" s="37">
        <v>0.89738483468714991</v>
      </c>
      <c r="G51" s="37">
        <v>0.8972393564774811</v>
      </c>
      <c r="H51" s="37">
        <v>0.92224700995380737</v>
      </c>
      <c r="I51" s="37">
        <v>0.91996934231066485</v>
      </c>
      <c r="J51" s="37">
        <v>0.91996934231066485</v>
      </c>
      <c r="K51" s="37">
        <v>0.91996934231066485</v>
      </c>
      <c r="L51" s="37">
        <v>0.91996934231066485</v>
      </c>
      <c r="M51" s="37">
        <v>0.91996934231066485</v>
      </c>
      <c r="N51" s="41"/>
    </row>
    <row r="55" spans="2:14" x14ac:dyDescent="0.2">
      <c r="D55" s="8">
        <f>257601884350</f>
        <v>257601884350</v>
      </c>
      <c r="E55" s="8">
        <v>276123610964</v>
      </c>
    </row>
  </sheetData>
  <printOptions horizontalCentered="1"/>
  <pageMargins left="0.7" right="0.7" top="0.2" bottom="0.2" header="0.3" footer="0.3"/>
  <pageSetup paperSize="9" scale="53" orientation="landscape" horizontalDpi="0" verticalDpi="0"/>
  <headerFooter>
    <oddHeader>&amp;A</oddHeader>
  </headerFooter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C71BF03F-71C7-CA48-A8E0-2F94EBAEAF89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 Old'!C5:M5</xm:f>
              <xm:sqref>N5</xm:sqref>
            </x14:sparkline>
            <x14:sparkline>
              <xm:f>'TE Office Old'!C6:M6</xm:f>
              <xm:sqref>N6</xm:sqref>
            </x14:sparkline>
            <x14:sparkline>
              <xm:f>'TE Office Old'!C7:M7</xm:f>
              <xm:sqref>N7</xm:sqref>
            </x14:sparkline>
            <x14:sparkline>
              <xm:f>'TE Office Old'!C8:M8</xm:f>
              <xm:sqref>N8</xm:sqref>
            </x14:sparkline>
            <x14:sparkline>
              <xm:f>'TE Office Old'!C9:M9</xm:f>
              <xm:sqref>N9</xm:sqref>
            </x14:sparkline>
          </x14:sparklines>
        </x14:sparklineGroup>
        <x14:sparklineGroup displayEmptyCellsAs="gap" xr2:uid="{D6EB2B09-F17B-3C44-89C9-D9FDDB189892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 Old'!C20:M20</xm:f>
              <xm:sqref>N20</xm:sqref>
            </x14:sparkline>
            <x14:sparkline>
              <xm:f>'TE Office Old'!C21:M21</xm:f>
              <xm:sqref>N21</xm:sqref>
            </x14:sparkline>
            <x14:sparkline>
              <xm:f>'TE Office Old'!C22:M22</xm:f>
              <xm:sqref>N22</xm:sqref>
            </x14:sparkline>
            <x14:sparkline>
              <xm:f>'TE Office Old'!C23:M23</xm:f>
              <xm:sqref>N23</xm:sqref>
            </x14:sparkline>
            <x14:sparkline>
              <xm:f>'TE Office Old'!C24:M24</xm:f>
              <xm:sqref>N24</xm:sqref>
            </x14:sparkline>
          </x14:sparklines>
        </x14:sparklineGroup>
        <x14:sparklineGroup displayEmptyCellsAs="gap" xr2:uid="{8EB3746F-C49E-704D-A70B-BBE68538AD93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 Old'!C29:M29</xm:f>
              <xm:sqref>N29</xm:sqref>
            </x14:sparkline>
            <x14:sparkline>
              <xm:f>'TE Office Old'!C30:M30</xm:f>
              <xm:sqref>N30</xm:sqref>
            </x14:sparkline>
            <x14:sparkline>
              <xm:f>'TE Office Old'!C31:M31</xm:f>
              <xm:sqref>N31</xm:sqref>
            </x14:sparkline>
            <x14:sparkline>
              <xm:f>'TE Office Old'!C32:M32</xm:f>
              <xm:sqref>N32</xm:sqref>
            </x14:sparkline>
            <x14:sparkline>
              <xm:f>'TE Office Old'!C33:M33</xm:f>
              <xm:sqref>N33</xm:sqref>
            </x14:sparkline>
          </x14:sparklines>
        </x14:sparklineGroup>
        <x14:sparklineGroup displayEmptyCellsAs="gap" xr2:uid="{27CA99C9-4EC6-5540-A65D-D31078C783F3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 Old'!C47:M47</xm:f>
              <xm:sqref>N47</xm:sqref>
            </x14:sparkline>
            <x14:sparkline>
              <xm:f>'TE Office Old'!C48:M48</xm:f>
              <xm:sqref>N48</xm:sqref>
            </x14:sparkline>
            <x14:sparkline>
              <xm:f>'TE Office Old'!C49:M49</xm:f>
              <xm:sqref>N49</xm:sqref>
            </x14:sparkline>
            <x14:sparkline>
              <xm:f>'TE Office Old'!C50:M50</xm:f>
              <xm:sqref>N50</xm:sqref>
            </x14:sparkline>
            <x14:sparkline>
              <xm:f>'TE Office Old'!C51:M51</xm:f>
              <xm:sqref>N51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62C0F-26F7-5E42-81F8-C83CEA16F2A6}">
  <sheetPr>
    <pageSetUpPr fitToPage="1"/>
  </sheetPr>
  <dimension ref="C5:N46"/>
  <sheetViews>
    <sheetView showGridLines="0" topLeftCell="A5" workbookViewId="0">
      <selection activeCell="G10" sqref="G10"/>
    </sheetView>
  </sheetViews>
  <sheetFormatPr baseColWidth="10" defaultRowHeight="16" x14ac:dyDescent="0.2"/>
  <cols>
    <col min="2" max="2" width="3.83203125" customWidth="1"/>
    <col min="3" max="14" width="27.6640625" customWidth="1"/>
  </cols>
  <sheetData>
    <row r="5" spans="3:14" ht="19" x14ac:dyDescent="0.25">
      <c r="C5" s="88"/>
    </row>
    <row r="7" spans="3:14" s="84" customFormat="1" x14ac:dyDescent="0.2">
      <c r="C7" s="85">
        <v>2023</v>
      </c>
      <c r="D7" s="86">
        <v>2024</v>
      </c>
      <c r="E7" s="86">
        <v>2025</v>
      </c>
      <c r="F7" s="86">
        <v>2026</v>
      </c>
      <c r="G7" s="86">
        <v>2027</v>
      </c>
      <c r="H7" s="86">
        <v>2028</v>
      </c>
      <c r="I7" s="86">
        <v>2029</v>
      </c>
      <c r="J7" s="86">
        <v>2030</v>
      </c>
      <c r="K7" s="86">
        <v>2031</v>
      </c>
      <c r="L7" s="86">
        <v>2032</v>
      </c>
      <c r="M7" s="86">
        <v>2033</v>
      </c>
      <c r="N7" s="87">
        <v>2034</v>
      </c>
    </row>
    <row r="8" spans="3:14" s="83" customFormat="1" x14ac:dyDescent="0.2">
      <c r="C8" s="97" t="s">
        <v>102</v>
      </c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</row>
    <row r="9" spans="3:14" x14ac:dyDescent="0.2">
      <c r="C9" s="90" t="s">
        <v>80</v>
      </c>
      <c r="D9" s="90" t="s">
        <v>87</v>
      </c>
      <c r="E9" s="91" t="s">
        <v>92</v>
      </c>
      <c r="F9" s="90"/>
      <c r="G9" s="91" t="s">
        <v>95</v>
      </c>
      <c r="H9" s="91" t="s">
        <v>97</v>
      </c>
      <c r="I9" s="90"/>
      <c r="J9" s="90"/>
      <c r="K9" s="90"/>
      <c r="L9" s="90"/>
      <c r="M9" s="90"/>
      <c r="N9" s="90"/>
    </row>
    <row r="10" spans="3:14" x14ac:dyDescent="0.2">
      <c r="C10" s="90" t="s">
        <v>81</v>
      </c>
      <c r="D10" s="91" t="s">
        <v>88</v>
      </c>
      <c r="E10" s="90" t="s">
        <v>93</v>
      </c>
      <c r="F10" s="90"/>
      <c r="G10" s="91" t="s">
        <v>96</v>
      </c>
      <c r="H10" s="90"/>
      <c r="I10" s="90"/>
      <c r="J10" s="90"/>
      <c r="K10" s="90"/>
      <c r="L10" s="90"/>
      <c r="M10" s="90"/>
      <c r="N10" s="90"/>
    </row>
    <row r="11" spans="3:14" x14ac:dyDescent="0.2">
      <c r="C11" s="90" t="s">
        <v>82</v>
      </c>
      <c r="D11" s="90" t="s">
        <v>89</v>
      </c>
      <c r="E11" s="90" t="s">
        <v>94</v>
      </c>
      <c r="F11" s="90"/>
      <c r="G11" s="90"/>
      <c r="H11" s="90"/>
      <c r="I11" s="90"/>
      <c r="J11" s="90"/>
      <c r="K11" s="90"/>
      <c r="L11" s="90"/>
      <c r="M11" s="90"/>
      <c r="N11" s="90"/>
    </row>
    <row r="12" spans="3:14" x14ac:dyDescent="0.2">
      <c r="C12" s="90" t="s">
        <v>91</v>
      </c>
      <c r="D12" s="91" t="s">
        <v>90</v>
      </c>
      <c r="E12" s="90"/>
      <c r="F12" s="90"/>
      <c r="G12" s="90"/>
      <c r="H12" s="90"/>
      <c r="I12" s="90"/>
      <c r="J12" s="90"/>
      <c r="K12" s="90"/>
      <c r="L12" s="90"/>
      <c r="M12" s="90"/>
      <c r="N12" s="90"/>
    </row>
    <row r="13" spans="3:14" x14ac:dyDescent="0.2">
      <c r="C13" s="90" t="s">
        <v>83</v>
      </c>
      <c r="D13" s="90" t="s">
        <v>106</v>
      </c>
      <c r="E13" s="90"/>
      <c r="F13" s="90"/>
      <c r="G13" s="90"/>
      <c r="H13" s="90"/>
      <c r="I13" s="90"/>
      <c r="J13" s="90"/>
      <c r="K13" s="90"/>
      <c r="L13" s="90"/>
      <c r="M13" s="90"/>
      <c r="N13" s="90"/>
    </row>
    <row r="14" spans="3:14" x14ac:dyDescent="0.2">
      <c r="C14" s="90" t="s">
        <v>84</v>
      </c>
      <c r="D14" s="90" t="s">
        <v>104</v>
      </c>
      <c r="E14" s="90"/>
      <c r="F14" s="90"/>
      <c r="G14" s="90"/>
      <c r="H14" s="90"/>
      <c r="I14" s="90"/>
      <c r="J14" s="90"/>
      <c r="K14" s="90"/>
      <c r="L14" s="90"/>
      <c r="M14" s="90"/>
      <c r="N14" s="90"/>
    </row>
    <row r="15" spans="3:14" x14ac:dyDescent="0.2">
      <c r="C15" s="90" t="s">
        <v>85</v>
      </c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</row>
    <row r="16" spans="3:14" x14ac:dyDescent="0.2">
      <c r="C16" s="90" t="s">
        <v>86</v>
      </c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</row>
    <row r="17" spans="3:14" x14ac:dyDescent="0.2">
      <c r="C17" s="90" t="s">
        <v>107</v>
      </c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</row>
    <row r="18" spans="3:14" x14ac:dyDescent="0.2">
      <c r="C18" s="90" t="s">
        <v>108</v>
      </c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</row>
    <row r="19" spans="3:14" x14ac:dyDescent="0.2">
      <c r="C19" s="90" t="s">
        <v>109</v>
      </c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</row>
    <row r="20" spans="3:14" x14ac:dyDescent="0.2"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</row>
    <row r="21" spans="3:14" s="83" customFormat="1" x14ac:dyDescent="0.2">
      <c r="C21" s="96" t="s">
        <v>101</v>
      </c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</row>
    <row r="22" spans="3:14" x14ac:dyDescent="0.2">
      <c r="C22" s="90" t="s">
        <v>98</v>
      </c>
      <c r="D22" s="90" t="s">
        <v>105</v>
      </c>
      <c r="E22" s="90"/>
      <c r="G22" s="90" t="s">
        <v>100</v>
      </c>
      <c r="H22" s="90"/>
      <c r="I22" s="90"/>
      <c r="J22" s="90"/>
      <c r="K22" s="90"/>
      <c r="L22" s="90"/>
      <c r="M22" s="90"/>
      <c r="N22" s="90"/>
    </row>
    <row r="23" spans="3:14" x14ac:dyDescent="0.2">
      <c r="C23" s="90" t="s">
        <v>99</v>
      </c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</row>
    <row r="24" spans="3:14" x14ac:dyDescent="0.2"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</row>
    <row r="27" spans="3:14" x14ac:dyDescent="0.2">
      <c r="C27" s="83"/>
    </row>
    <row r="29" spans="3:14" s="84" customFormat="1" x14ac:dyDescent="0.2">
      <c r="C29" s="85">
        <v>2023</v>
      </c>
      <c r="D29" s="86">
        <v>2024</v>
      </c>
      <c r="E29" s="86">
        <v>2025</v>
      </c>
      <c r="F29" s="86">
        <v>2026</v>
      </c>
      <c r="G29" s="86">
        <v>2027</v>
      </c>
      <c r="H29" s="86">
        <v>2028</v>
      </c>
      <c r="I29" s="86">
        <v>2029</v>
      </c>
      <c r="J29" s="86">
        <v>2030</v>
      </c>
      <c r="K29" s="86">
        <v>2031</v>
      </c>
      <c r="L29" s="86">
        <v>2032</v>
      </c>
      <c r="M29" s="86">
        <v>2033</v>
      </c>
      <c r="N29" s="87">
        <v>2034</v>
      </c>
    </row>
    <row r="30" spans="3:14" s="83" customFormat="1" x14ac:dyDescent="0.2">
      <c r="C30" s="97" t="s">
        <v>102</v>
      </c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</row>
    <row r="31" spans="3:14" x14ac:dyDescent="0.2">
      <c r="C31" s="90" t="s">
        <v>80</v>
      </c>
      <c r="D31" s="90" t="s">
        <v>87</v>
      </c>
      <c r="E31" s="90" t="s">
        <v>93</v>
      </c>
      <c r="F31" s="90"/>
      <c r="G31" s="90"/>
      <c r="H31" s="90"/>
      <c r="I31" s="90"/>
      <c r="J31" s="90"/>
      <c r="K31" s="90"/>
      <c r="L31" s="90"/>
      <c r="M31" s="90"/>
      <c r="N31" s="90"/>
    </row>
    <row r="32" spans="3:14" x14ac:dyDescent="0.2">
      <c r="C32" s="90" t="s">
        <v>81</v>
      </c>
      <c r="D32" s="90" t="s">
        <v>89</v>
      </c>
      <c r="E32" s="90" t="s">
        <v>94</v>
      </c>
      <c r="F32" s="90"/>
      <c r="G32" s="90"/>
      <c r="H32" s="90"/>
      <c r="I32" s="90"/>
      <c r="J32" s="90"/>
      <c r="K32" s="90"/>
      <c r="L32" s="90"/>
      <c r="M32" s="90"/>
      <c r="N32" s="90"/>
    </row>
    <row r="33" spans="3:14" x14ac:dyDescent="0.2">
      <c r="C33" s="90" t="s">
        <v>82</v>
      </c>
      <c r="D33" s="90" t="s">
        <v>106</v>
      </c>
      <c r="E33" s="90"/>
      <c r="F33" s="90"/>
      <c r="G33" s="90"/>
      <c r="H33" s="90"/>
      <c r="I33" s="90"/>
      <c r="J33" s="90"/>
      <c r="K33" s="90"/>
      <c r="L33" s="90"/>
      <c r="M33" s="90"/>
      <c r="N33" s="90"/>
    </row>
    <row r="34" spans="3:14" x14ac:dyDescent="0.2">
      <c r="C34" s="90" t="s">
        <v>91</v>
      </c>
      <c r="D34" s="90" t="s">
        <v>104</v>
      </c>
      <c r="E34" s="90"/>
      <c r="F34" s="90"/>
      <c r="G34" s="90"/>
      <c r="H34" s="90"/>
      <c r="I34" s="90"/>
      <c r="J34" s="90"/>
      <c r="K34" s="90"/>
      <c r="L34" s="90"/>
      <c r="M34" s="90"/>
      <c r="N34" s="90"/>
    </row>
    <row r="35" spans="3:14" x14ac:dyDescent="0.2">
      <c r="C35" s="90" t="s">
        <v>83</v>
      </c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</row>
    <row r="36" spans="3:14" x14ac:dyDescent="0.2">
      <c r="C36" s="90" t="s">
        <v>84</v>
      </c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</row>
    <row r="37" spans="3:14" x14ac:dyDescent="0.2">
      <c r="C37" s="90" t="s">
        <v>85</v>
      </c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</row>
    <row r="38" spans="3:14" x14ac:dyDescent="0.2">
      <c r="C38" s="90" t="s">
        <v>86</v>
      </c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</row>
    <row r="39" spans="3:14" x14ac:dyDescent="0.2">
      <c r="C39" s="90" t="s">
        <v>107</v>
      </c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</row>
    <row r="40" spans="3:14" x14ac:dyDescent="0.2">
      <c r="C40" s="90" t="s">
        <v>108</v>
      </c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</row>
    <row r="41" spans="3:14" x14ac:dyDescent="0.2">
      <c r="C41" s="90" t="s">
        <v>109</v>
      </c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</row>
    <row r="42" spans="3:14" x14ac:dyDescent="0.2"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</row>
    <row r="43" spans="3:14" s="83" customFormat="1" x14ac:dyDescent="0.2">
      <c r="C43" s="96" t="s">
        <v>101</v>
      </c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</row>
    <row r="44" spans="3:14" x14ac:dyDescent="0.2">
      <c r="C44" s="90" t="s">
        <v>98</v>
      </c>
      <c r="D44" s="90"/>
      <c r="E44" s="94" t="s">
        <v>103</v>
      </c>
      <c r="F44" s="90" t="s">
        <v>105</v>
      </c>
      <c r="G44" s="90" t="s">
        <v>100</v>
      </c>
      <c r="H44" s="90"/>
      <c r="I44" s="90"/>
      <c r="J44" s="90"/>
      <c r="K44" s="90"/>
      <c r="L44" s="90"/>
      <c r="M44" s="90"/>
      <c r="N44" s="90"/>
    </row>
    <row r="45" spans="3:14" x14ac:dyDescent="0.2">
      <c r="C45" s="90" t="s">
        <v>99</v>
      </c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</row>
    <row r="46" spans="3:14" x14ac:dyDescent="0.2">
      <c r="C46" s="95" t="s">
        <v>110</v>
      </c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</row>
  </sheetData>
  <printOptions horizontalCentered="1"/>
  <pageMargins left="0.2" right="0.2" top="0.75" bottom="0.75" header="0.3" footer="0.3"/>
  <pageSetup paperSize="9" scale="39" orientation="landscape" horizontalDpi="0" verticalDpi="0"/>
  <headerFooter>
    <oddHeader>&amp;A</oddHead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429D-3330-E149-8349-7722C11EEA82}">
  <sheetPr>
    <pageSetUpPr fitToPage="1"/>
  </sheetPr>
  <dimension ref="B2:Q45"/>
  <sheetViews>
    <sheetView showGridLines="0" zoomScale="200" zoomScaleNormal="100" workbookViewId="0">
      <selection activeCell="F43" sqref="F43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16" width="15.5" style="1" customWidth="1"/>
    <col min="17" max="16384" width="8.83203125" style="1"/>
  </cols>
  <sheetData>
    <row r="2" spans="2:17" x14ac:dyDescent="0.2">
      <c r="E2" s="42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2:17" ht="20" customHeight="1" thickBot="1" x14ac:dyDescent="0.25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44" t="s">
        <v>13</v>
      </c>
      <c r="L3" s="44" t="s">
        <v>14</v>
      </c>
      <c r="M3" s="44" t="s">
        <v>15</v>
      </c>
      <c r="N3" s="44" t="s">
        <v>16</v>
      </c>
      <c r="O3" s="44" t="s">
        <v>17</v>
      </c>
      <c r="P3" s="44" t="s">
        <v>18</v>
      </c>
    </row>
    <row r="4" spans="2:17" ht="20" customHeight="1" x14ac:dyDescent="0.2">
      <c r="B4" s="1" t="s">
        <v>0</v>
      </c>
      <c r="C4" s="8">
        <f>$C$9</f>
        <v>7382584356</v>
      </c>
      <c r="D4" s="8">
        <f t="shared" ref="D4:E4" si="0">$C$9</f>
        <v>7382584356</v>
      </c>
      <c r="E4" s="8">
        <f t="shared" si="0"/>
        <v>7382584356</v>
      </c>
      <c r="F4" s="8">
        <f>$C$13</f>
        <v>8199964357.2000008</v>
      </c>
      <c r="G4" s="8">
        <f t="shared" ref="G4:P4" si="1">$C$17</f>
        <v>9017344357.2000008</v>
      </c>
      <c r="H4" s="8">
        <f t="shared" si="1"/>
        <v>9017344357.2000008</v>
      </c>
      <c r="I4" s="8">
        <f t="shared" si="1"/>
        <v>9017344357.2000008</v>
      </c>
      <c r="J4" s="8">
        <f t="shared" si="1"/>
        <v>9017344357.2000008</v>
      </c>
      <c r="K4" s="8">
        <f t="shared" si="1"/>
        <v>9017344357.2000008</v>
      </c>
      <c r="L4" s="8">
        <f t="shared" si="1"/>
        <v>9017344357.2000008</v>
      </c>
      <c r="M4" s="8">
        <f t="shared" si="1"/>
        <v>9017344357.2000008</v>
      </c>
      <c r="N4" s="8">
        <f t="shared" si="1"/>
        <v>9017344357.2000008</v>
      </c>
      <c r="O4" s="8">
        <f t="shared" si="1"/>
        <v>9017344357.2000008</v>
      </c>
      <c r="P4" s="8">
        <f t="shared" si="1"/>
        <v>9017344357.2000008</v>
      </c>
      <c r="Q4" s="38"/>
    </row>
    <row r="5" spans="2:17" ht="20" customHeight="1" thickBot="1" x14ac:dyDescent="0.25">
      <c r="B5" s="1" t="s">
        <v>76</v>
      </c>
      <c r="C5" s="8"/>
      <c r="D5" s="46">
        <v>0</v>
      </c>
      <c r="E5" s="46">
        <v>0</v>
      </c>
      <c r="F5" s="46">
        <v>0</v>
      </c>
      <c r="G5" s="46">
        <f>G4-F4</f>
        <v>817380000</v>
      </c>
      <c r="H5" s="46">
        <v>0</v>
      </c>
      <c r="I5" s="46">
        <v>0</v>
      </c>
      <c r="J5" s="46">
        <v>0</v>
      </c>
      <c r="K5" s="46">
        <v>0</v>
      </c>
      <c r="L5" s="46">
        <v>0</v>
      </c>
      <c r="M5" s="46">
        <v>0</v>
      </c>
      <c r="N5" s="46">
        <v>0</v>
      </c>
      <c r="O5" s="46">
        <v>0</v>
      </c>
      <c r="P5" s="46">
        <v>0</v>
      </c>
      <c r="Q5" s="41"/>
    </row>
    <row r="6" spans="2:17" x14ac:dyDescent="0.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2:17" x14ac:dyDescent="0.2">
      <c r="B7" s="53" t="s">
        <v>115</v>
      </c>
    </row>
    <row r="8" spans="2:17" x14ac:dyDescent="0.2">
      <c r="B8" s="42" t="s">
        <v>77</v>
      </c>
      <c r="C8" s="8">
        <v>615215363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2:17" x14ac:dyDescent="0.2">
      <c r="B9" s="42" t="s">
        <v>62</v>
      </c>
      <c r="C9" s="8">
        <f>C8*12</f>
        <v>7382584356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2:17" x14ac:dyDescent="0.2"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2:17" x14ac:dyDescent="0.2">
      <c r="B11" s="47">
        <v>2022</v>
      </c>
    </row>
    <row r="12" spans="2:17" x14ac:dyDescent="0.2">
      <c r="B12" s="42" t="s">
        <v>77</v>
      </c>
      <c r="C12" s="8">
        <f>(751445363.1+615215363.1)/2</f>
        <v>683330363.10000002</v>
      </c>
    </row>
    <row r="13" spans="2:17" x14ac:dyDescent="0.2">
      <c r="B13" s="42" t="s">
        <v>62</v>
      </c>
      <c r="C13" s="8">
        <f>C12*12</f>
        <v>8199964357.2000008</v>
      </c>
    </row>
    <row r="15" spans="2:17" x14ac:dyDescent="0.2">
      <c r="B15" s="53" t="s">
        <v>61</v>
      </c>
    </row>
    <row r="16" spans="2:17" x14ac:dyDescent="0.2">
      <c r="B16" s="42" t="s">
        <v>78</v>
      </c>
      <c r="C16" s="8">
        <f>751445363.1</f>
        <v>751445363.10000002</v>
      </c>
    </row>
    <row r="17" spans="2:3" x14ac:dyDescent="0.2">
      <c r="B17" s="42" t="s">
        <v>60</v>
      </c>
      <c r="C17" s="9">
        <f>C16*12</f>
        <v>9017344357.2000008</v>
      </c>
    </row>
    <row r="28" spans="2:3" ht="15" customHeight="1" x14ac:dyDescent="0.2"/>
    <row r="29" spans="2:3" ht="15" customHeight="1" x14ac:dyDescent="0.2"/>
    <row r="30" spans="2:3" ht="20.25" customHeight="1" x14ac:dyDescent="0.2"/>
    <row r="31" spans="2:3" ht="20.25" customHeight="1" x14ac:dyDescent="0.2"/>
    <row r="32" spans="2:3" ht="20.25" customHeight="1" x14ac:dyDescent="0.2"/>
    <row r="33" ht="20.25" customHeight="1" x14ac:dyDescent="0.2"/>
    <row r="34" ht="20.25" customHeight="1" x14ac:dyDescent="0.2"/>
    <row r="35" ht="20.25" customHeight="1" x14ac:dyDescent="0.2"/>
    <row r="38" ht="15" customHeight="1" x14ac:dyDescent="0.2"/>
    <row r="39" ht="15" customHeight="1" x14ac:dyDescent="0.2"/>
    <row r="40" ht="20.25" customHeight="1" x14ac:dyDescent="0.2"/>
    <row r="41" ht="20.25" customHeight="1" x14ac:dyDescent="0.2"/>
    <row r="42" ht="20.25" customHeight="1" x14ac:dyDescent="0.2"/>
    <row r="43" ht="20.25" customHeight="1" x14ac:dyDescent="0.2"/>
    <row r="44" ht="20.25" customHeight="1" x14ac:dyDescent="0.2"/>
    <row r="45" ht="20.25" customHeight="1" x14ac:dyDescent="0.2"/>
  </sheetData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D5:P5" calculatedColumn="1"/>
  </ignoredErrors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C4D0C79-41AD-DF48-8735-B99A7DE04BFE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Ampera!C4:P4</xm:f>
              <xm:sqref>Q4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00E9C-8872-7E47-90FB-465B0FC6A751}">
  <sheetPr>
    <pageSetUpPr fitToPage="1"/>
  </sheetPr>
  <dimension ref="B2:Q34"/>
  <sheetViews>
    <sheetView showGridLines="0" zoomScale="119" zoomScaleNormal="100" workbookViewId="0">
      <selection activeCell="C14" sqref="C14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16" width="15.5" style="1" customWidth="1"/>
    <col min="17" max="16384" width="8.83203125" style="1"/>
  </cols>
  <sheetData>
    <row r="2" spans="2:17" x14ac:dyDescent="0.2">
      <c r="E2" s="42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2:17" ht="20" customHeight="1" thickBot="1" x14ac:dyDescent="0.25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44" t="s">
        <v>13</v>
      </c>
      <c r="L3" s="44" t="s">
        <v>14</v>
      </c>
      <c r="M3" s="44" t="s">
        <v>15</v>
      </c>
      <c r="N3" s="44" t="s">
        <v>16</v>
      </c>
      <c r="O3" s="44" t="s">
        <v>17</v>
      </c>
      <c r="P3" s="44" t="s">
        <v>18</v>
      </c>
    </row>
    <row r="4" spans="2:17" ht="20" customHeight="1" x14ac:dyDescent="0.2">
      <c r="B4" s="1" t="s">
        <v>5</v>
      </c>
      <c r="C4" s="8">
        <v>8000000000</v>
      </c>
      <c r="D4" s="8">
        <v>2000000000</v>
      </c>
      <c r="E4" s="8">
        <v>0</v>
      </c>
      <c r="F4" s="8">
        <f>12/9*2400000000</f>
        <v>3200000000</v>
      </c>
      <c r="G4" s="8">
        <v>4500000000</v>
      </c>
      <c r="H4" s="8">
        <f>Table36712[[#This Row],[2023]]+H5</f>
        <v>5500000000</v>
      </c>
      <c r="I4" s="8">
        <f>Table36712[[#This Row],[2024]]+I5</f>
        <v>6000000000</v>
      </c>
      <c r="J4" s="8">
        <f>Table36712[[#This Row],[2025]]+J5</f>
        <v>7000000000</v>
      </c>
      <c r="K4" s="8">
        <f>Table36712[[#This Row],[2026]]+K5</f>
        <v>7500000000</v>
      </c>
      <c r="L4" s="8">
        <f>Table36712[[#This Row],[2027]]+L5</f>
        <v>8000000000</v>
      </c>
      <c r="M4" s="8">
        <f>Table36712[[#This Row],[2028]]+M5</f>
        <v>8500000000</v>
      </c>
      <c r="N4" s="8">
        <f>Table36712[[#This Row],[2029]]+N5</f>
        <v>9000000000</v>
      </c>
      <c r="O4" s="8">
        <f>Table36712[[#This Row],[2030]]+O5</f>
        <v>9000000000</v>
      </c>
      <c r="P4" s="8">
        <f>Table36712[[#This Row],[2031]]+P5</f>
        <v>9000000000</v>
      </c>
      <c r="Q4" s="38"/>
    </row>
    <row r="5" spans="2:17" ht="20" customHeight="1" thickBot="1" x14ac:dyDescent="0.25">
      <c r="B5" s="1" t="s">
        <v>76</v>
      </c>
      <c r="C5" s="8">
        <v>0</v>
      </c>
      <c r="D5" s="46">
        <v>0</v>
      </c>
      <c r="E5" s="46">
        <v>0</v>
      </c>
      <c r="F5" s="46">
        <v>0</v>
      </c>
      <c r="G5" s="46">
        <v>0</v>
      </c>
      <c r="H5" s="46">
        <v>1000000000</v>
      </c>
      <c r="I5" s="46">
        <v>500000000</v>
      </c>
      <c r="J5" s="46">
        <v>1000000000</v>
      </c>
      <c r="K5" s="46">
        <v>500000000</v>
      </c>
      <c r="L5" s="46">
        <v>500000000</v>
      </c>
      <c r="M5" s="46">
        <v>500000000</v>
      </c>
      <c r="N5" s="46">
        <v>500000000</v>
      </c>
      <c r="O5" s="46">
        <v>0</v>
      </c>
      <c r="P5" s="46">
        <v>0</v>
      </c>
      <c r="Q5" s="41"/>
    </row>
    <row r="6" spans="2:17" x14ac:dyDescent="0.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8" spans="2:17" ht="20" customHeight="1" thickBot="1" x14ac:dyDescent="0.25">
      <c r="B8" s="44" t="s">
        <v>46</v>
      </c>
      <c r="C8" s="44" t="s">
        <v>57</v>
      </c>
      <c r="D8" s="44" t="s">
        <v>58</v>
      </c>
      <c r="E8" s="44" t="s">
        <v>59</v>
      </c>
      <c r="F8" s="44" t="s">
        <v>45</v>
      </c>
      <c r="G8" s="44" t="s">
        <v>9</v>
      </c>
      <c r="H8" s="44" t="s">
        <v>10</v>
      </c>
      <c r="I8" s="44" t="s">
        <v>11</v>
      </c>
      <c r="J8" s="44" t="s">
        <v>12</v>
      </c>
      <c r="K8" s="44" t="s">
        <v>13</v>
      </c>
      <c r="L8" s="44" t="s">
        <v>14</v>
      </c>
      <c r="M8" s="44" t="s">
        <v>15</v>
      </c>
      <c r="N8" s="44" t="s">
        <v>16</v>
      </c>
      <c r="O8" s="44" t="s">
        <v>17</v>
      </c>
      <c r="P8" s="44" t="s">
        <v>18</v>
      </c>
    </row>
    <row r="9" spans="2:17" ht="20" customHeight="1" x14ac:dyDescent="0.2">
      <c r="B9" s="1" t="s">
        <v>5</v>
      </c>
      <c r="C9" s="8">
        <v>8000000000</v>
      </c>
      <c r="D9" s="8">
        <v>2000000000</v>
      </c>
      <c r="E9" s="8">
        <v>0</v>
      </c>
      <c r="F9" s="8">
        <f>12/9*2400000000</f>
        <v>3200000000</v>
      </c>
      <c r="G9" s="8">
        <v>4500000000</v>
      </c>
      <c r="H9" s="8">
        <f>Table3671213[[#This Row],[2023]]+H10</f>
        <v>4750000000</v>
      </c>
      <c r="I9" s="8">
        <f>Table3671213[[#This Row],[2024]]+I10</f>
        <v>5000000000</v>
      </c>
      <c r="J9" s="8">
        <f>Table3671213[[#This Row],[2025]]+J10</f>
        <v>5250000000</v>
      </c>
      <c r="K9" s="8">
        <f>Table3671213[[#This Row],[2026]]+K10</f>
        <v>5750000000</v>
      </c>
      <c r="L9" s="8">
        <f>Table3671213[[#This Row],[2027]]+L10</f>
        <v>6250000000</v>
      </c>
      <c r="M9" s="8">
        <f>Table3671213[[#This Row],[2028]]+M10</f>
        <v>6750000000</v>
      </c>
      <c r="N9" s="8">
        <f>Table3671213[[#This Row],[2029]]+N10</f>
        <v>7250000000</v>
      </c>
      <c r="O9" s="8">
        <f>Table3671213[[#This Row],[2030]]+O10</f>
        <v>7250000000</v>
      </c>
      <c r="P9" s="8">
        <f>Table3671213[[#This Row],[2031]]+P10</f>
        <v>7250000000</v>
      </c>
      <c r="Q9" s="38"/>
    </row>
    <row r="10" spans="2:17" ht="20" customHeight="1" thickBot="1" x14ac:dyDescent="0.25">
      <c r="B10" s="1" t="s">
        <v>76</v>
      </c>
      <c r="C10" s="8">
        <v>0</v>
      </c>
      <c r="D10" s="46">
        <v>0</v>
      </c>
      <c r="E10" s="46">
        <v>0</v>
      </c>
      <c r="F10" s="46">
        <v>0</v>
      </c>
      <c r="G10" s="46">
        <v>0</v>
      </c>
      <c r="H10" s="46">
        <v>250000000</v>
      </c>
      <c r="I10" s="46">
        <v>250000000</v>
      </c>
      <c r="J10" s="46">
        <v>250000000</v>
      </c>
      <c r="K10" s="46">
        <v>500000000</v>
      </c>
      <c r="L10" s="46">
        <v>500000000</v>
      </c>
      <c r="M10" s="46">
        <v>500000000</v>
      </c>
      <c r="N10" s="46">
        <v>500000000</v>
      </c>
      <c r="O10" s="46">
        <v>0</v>
      </c>
      <c r="P10" s="46">
        <v>0</v>
      </c>
      <c r="Q10" s="41"/>
    </row>
    <row r="17" ht="15" customHeight="1" x14ac:dyDescent="0.2"/>
    <row r="18" ht="15" customHeight="1" x14ac:dyDescent="0.2"/>
    <row r="19" ht="20.25" customHeight="1" x14ac:dyDescent="0.2"/>
    <row r="20" ht="20.25" customHeight="1" x14ac:dyDescent="0.2"/>
    <row r="21" ht="20.25" customHeight="1" x14ac:dyDescent="0.2"/>
    <row r="22" ht="20.25" customHeight="1" x14ac:dyDescent="0.2"/>
    <row r="23" ht="20.25" customHeight="1" x14ac:dyDescent="0.2"/>
    <row r="24" ht="20.25" customHeight="1" x14ac:dyDescent="0.2"/>
    <row r="27" ht="15" customHeight="1" x14ac:dyDescent="0.2"/>
    <row r="28" ht="15" customHeight="1" x14ac:dyDescent="0.2"/>
    <row r="29" ht="20.25" customHeight="1" x14ac:dyDescent="0.2"/>
    <row r="30" ht="20.25" customHeight="1" x14ac:dyDescent="0.2"/>
    <row r="31" ht="20.25" customHeight="1" x14ac:dyDescent="0.2"/>
    <row r="32" ht="20.25" customHeight="1" x14ac:dyDescent="0.2"/>
    <row r="33" ht="20.25" customHeight="1" x14ac:dyDescent="0.2"/>
    <row r="34" ht="20.25" customHeight="1" x14ac:dyDescent="0.2"/>
  </sheetData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C4:P5 C9:P10" calculatedColumn="1"/>
  </ignoredErrors>
  <drawing r:id="rId1"/>
  <tableParts count="2">
    <tablePart r:id="rId2"/>
    <tablePart r:id="rId3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990FA0E3-C61F-6E4B-84B3-0E05946D3E2D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SH!C9:P9</xm:f>
              <xm:sqref>Q9</xm:sqref>
            </x14:sparkline>
          </x14:sparklines>
        </x14:sparklineGroup>
        <x14:sparklineGroup displayEmptyCellsAs="gap" xr2:uid="{FF5E32F6-76BA-B445-AB9C-94E4D0BCC643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SH!C4:P4</xm:f>
              <xm:sqref>Q4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5D45-7987-9842-B24D-05BDE99845CC}">
  <sheetPr>
    <pageSetUpPr fitToPage="1"/>
  </sheetPr>
  <dimension ref="B2:Q35"/>
  <sheetViews>
    <sheetView showGridLines="0" topLeftCell="B1" zoomScale="200" zoomScaleNormal="100" workbookViewId="0">
      <selection activeCell="F17" sqref="F17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16" width="15.5" style="1" customWidth="1"/>
    <col min="17" max="16384" width="8.83203125" style="1"/>
  </cols>
  <sheetData>
    <row r="2" spans="2:17" x14ac:dyDescent="0.2">
      <c r="E2" s="42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2:17" ht="20" customHeight="1" thickBot="1" x14ac:dyDescent="0.25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44" t="s">
        <v>13</v>
      </c>
      <c r="L3" s="44" t="s">
        <v>14</v>
      </c>
      <c r="M3" s="44" t="s">
        <v>15</v>
      </c>
      <c r="N3" s="44" t="s">
        <v>16</v>
      </c>
      <c r="O3" s="44" t="s">
        <v>17</v>
      </c>
      <c r="P3" s="44" t="s">
        <v>18</v>
      </c>
    </row>
    <row r="4" spans="2:17" ht="20" customHeight="1" x14ac:dyDescent="0.2">
      <c r="B4" s="1" t="s">
        <v>113</v>
      </c>
      <c r="C4" s="8"/>
      <c r="D4" s="8">
        <f>Table36710[[#This Row],[2019]]+D5</f>
        <v>0</v>
      </c>
      <c r="E4" s="8">
        <f>Table36710[[#This Row],[2020]]+E5</f>
        <v>0</v>
      </c>
      <c r="F4" s="8">
        <v>8000000000</v>
      </c>
      <c r="G4" s="8">
        <f>Table36710[[#This Row],[2022]]+G5</f>
        <v>8500000000</v>
      </c>
      <c r="H4" s="8">
        <f>Table36710[[#This Row],[2023]]+H5</f>
        <v>9000000000</v>
      </c>
      <c r="I4" s="8">
        <f>Table36710[[#This Row],[2024]]+I5</f>
        <v>10000000000</v>
      </c>
      <c r="J4" s="8">
        <f>Table36710[[#This Row],[2025]]+J5</f>
        <v>10500000000</v>
      </c>
      <c r="K4" s="8">
        <f>Table36710[[#This Row],[2026]]+K5</f>
        <v>11000000000</v>
      </c>
      <c r="L4" s="8">
        <f>Table36710[[#This Row],[2027]]+L5</f>
        <v>12000000000</v>
      </c>
      <c r="M4" s="8">
        <f>Table36710[[#This Row],[2028]]+M5</f>
        <v>12000000000</v>
      </c>
      <c r="N4" s="8">
        <f>Table36710[[#This Row],[2029]]+N5</f>
        <v>12000000000</v>
      </c>
      <c r="O4" s="8">
        <f>Table36710[[#This Row],[2030]]+O5</f>
        <v>12000000000</v>
      </c>
      <c r="P4" s="8">
        <f>Table36710[[#This Row],[2031]]+P5</f>
        <v>12000000000</v>
      </c>
      <c r="Q4" s="38"/>
    </row>
    <row r="5" spans="2:17" ht="20" customHeight="1" thickBot="1" x14ac:dyDescent="0.25">
      <c r="B5" s="1" t="s">
        <v>76</v>
      </c>
      <c r="C5" s="8"/>
      <c r="D5" s="46">
        <v>0</v>
      </c>
      <c r="E5" s="46">
        <v>0</v>
      </c>
      <c r="F5" s="46">
        <v>0</v>
      </c>
      <c r="G5" s="46">
        <v>500000000</v>
      </c>
      <c r="H5" s="46">
        <v>500000000</v>
      </c>
      <c r="I5" s="46">
        <v>1000000000</v>
      </c>
      <c r="J5" s="46">
        <v>500000000</v>
      </c>
      <c r="K5" s="46">
        <v>500000000</v>
      </c>
      <c r="L5" s="46">
        <v>1000000000</v>
      </c>
      <c r="M5" s="46">
        <v>0</v>
      </c>
      <c r="N5" s="46">
        <v>0</v>
      </c>
      <c r="O5" s="46">
        <v>0</v>
      </c>
      <c r="P5" s="46">
        <v>0</v>
      </c>
      <c r="Q5" s="41"/>
    </row>
    <row r="6" spans="2:17" x14ac:dyDescent="0.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2:17" x14ac:dyDescent="0.2"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18" ht="15" customHeight="1" x14ac:dyDescent="0.2"/>
    <row r="19" ht="15" customHeight="1" x14ac:dyDescent="0.2"/>
    <row r="20" ht="20.25" customHeight="1" x14ac:dyDescent="0.2"/>
    <row r="21" ht="20.25" customHeight="1" x14ac:dyDescent="0.2"/>
    <row r="22" ht="20.25" customHeight="1" x14ac:dyDescent="0.2"/>
    <row r="23" ht="20.25" customHeight="1" x14ac:dyDescent="0.2"/>
    <row r="24" ht="20.25" customHeight="1" x14ac:dyDescent="0.2"/>
    <row r="25" ht="20.25" customHeight="1" x14ac:dyDescent="0.2"/>
    <row r="28" ht="15" customHeight="1" x14ac:dyDescent="0.2"/>
    <row r="29" ht="15" customHeight="1" x14ac:dyDescent="0.2"/>
    <row r="30" ht="20.25" customHeight="1" x14ac:dyDescent="0.2"/>
    <row r="31" ht="20.25" customHeight="1" x14ac:dyDescent="0.2"/>
    <row r="32" ht="20.25" customHeight="1" x14ac:dyDescent="0.2"/>
    <row r="33" ht="20.25" customHeight="1" x14ac:dyDescent="0.2"/>
    <row r="34" ht="20.25" customHeight="1" x14ac:dyDescent="0.2"/>
    <row r="35" ht="20.25" customHeight="1" x14ac:dyDescent="0.2"/>
  </sheetData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D5:F5 D4:E4 G4:P4 M5" calculatedColumn="1"/>
  </ignoredErrors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DC6EF57-8C45-334C-8E78-E2EF973B86C5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Dago!C4:P4</xm:f>
              <xm:sqref>Q4</xm:sqref>
            </x14:sparkline>
          </x14:sparklines>
        </x14:sparklineGroup>
      </x14:sparklineGroup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B7CA7-5E65-4363-95E1-F36222B8A808}">
  <sheetPr>
    <pageSetUpPr fitToPage="1"/>
  </sheetPr>
  <dimension ref="B2:AL40"/>
  <sheetViews>
    <sheetView showGridLines="0" zoomScale="108" zoomScaleNormal="100" workbookViewId="0">
      <selection activeCell="G5" sqref="G5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7" width="15.5" style="1" customWidth="1"/>
    <col min="8" max="8" width="15.83203125" style="1" customWidth="1"/>
    <col min="9" max="16" width="15.5" style="1" customWidth="1"/>
    <col min="17" max="23" width="8.83203125" style="1"/>
    <col min="24" max="37" width="20.5" style="1" customWidth="1"/>
    <col min="38" max="38" width="18.5" style="1" bestFit="1" customWidth="1"/>
    <col min="39" max="16384" width="8.83203125" style="1"/>
  </cols>
  <sheetData>
    <row r="2" spans="2:38" ht="17" thickBot="1" x14ac:dyDescent="0.25">
      <c r="E2" s="42" t="s">
        <v>55</v>
      </c>
      <c r="F2" s="43">
        <f>Summary!$C$3</f>
        <v>0.80651318506282987</v>
      </c>
      <c r="G2" s="62">
        <f>Summary!$D$3</f>
        <v>0.84746186247561472</v>
      </c>
      <c r="H2" s="63">
        <f>Summary!$E$3</f>
        <v>0.90940881520945416</v>
      </c>
      <c r="I2" s="63">
        <f>Summary!$F$3</f>
        <v>0.9061006849015163</v>
      </c>
      <c r="J2" s="63">
        <f>Summary!$G$3</f>
        <v>0.90275531722103852</v>
      </c>
      <c r="K2" s="63">
        <f>Summary!$H$3</f>
        <v>0.92456308122655606</v>
      </c>
      <c r="L2" s="63">
        <f>Summary!$I$3</f>
        <v>0.92228541358341343</v>
      </c>
      <c r="M2" s="63">
        <f>Summary!$J$3</f>
        <v>0.92228541358341343</v>
      </c>
      <c r="N2" s="63">
        <f>Summary!$K$3</f>
        <v>0.92228541358341343</v>
      </c>
      <c r="O2" s="63">
        <f>Summary!$L$3</f>
        <v>0.92228541358341343</v>
      </c>
      <c r="P2" s="63">
        <f>Summary!$M$3</f>
        <v>0.92228541358341343</v>
      </c>
    </row>
    <row r="3" spans="2:38" ht="20" customHeight="1" thickBot="1" x14ac:dyDescent="0.25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64" t="s">
        <v>9</v>
      </c>
      <c r="H3" s="65" t="s">
        <v>10</v>
      </c>
      <c r="I3" s="65" t="s">
        <v>11</v>
      </c>
      <c r="J3" s="65" t="s">
        <v>12</v>
      </c>
      <c r="K3" s="65" t="s">
        <v>13</v>
      </c>
      <c r="L3" s="65" t="s">
        <v>14</v>
      </c>
      <c r="M3" s="65" t="s">
        <v>15</v>
      </c>
      <c r="N3" s="65" t="s">
        <v>16</v>
      </c>
      <c r="O3" s="65" t="s">
        <v>17</v>
      </c>
      <c r="P3" s="65" t="s">
        <v>18</v>
      </c>
      <c r="W3" s="45"/>
      <c r="X3" s="107" t="s">
        <v>22</v>
      </c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45"/>
    </row>
    <row r="4" spans="2:38" ht="20" customHeight="1" thickBot="1" x14ac:dyDescent="0.25">
      <c r="B4" s="1" t="s">
        <v>56</v>
      </c>
      <c r="C4" s="8">
        <v>19184306270</v>
      </c>
      <c r="D4" s="8">
        <v>16273757320</v>
      </c>
      <c r="E4" s="8">
        <v>14975015104.554581</v>
      </c>
      <c r="F4" s="8">
        <v>15151548951.902332</v>
      </c>
      <c r="G4" s="66">
        <f>16399663023.4286+1300000000</f>
        <v>17699663023.4286</v>
      </c>
      <c r="H4" s="67">
        <f>Table36[[#This Row],[2023]]+(H2-G2)*100*$H$9</f>
        <v>24416595021.269829</v>
      </c>
      <c r="I4" s="67">
        <f>Table36[[#This Row],[2024]]+(I2-H2)*100*$H$9</f>
        <v>24057893174.967743</v>
      </c>
      <c r="J4" s="67">
        <f>Table36[[#This Row],[2025]]+(J2-I2)*100*$H$9</f>
        <v>23695153665.986694</v>
      </c>
      <c r="K4" s="67">
        <f>Table36[[#This Row],[2026]]+(K2-J2)*100*$H$9</f>
        <v>26059777935.39024</v>
      </c>
      <c r="L4" s="67">
        <f>Table36[[#This Row],[2027]]+(L2-K2)*100*$H$9</f>
        <v>25812809553.613567</v>
      </c>
      <c r="M4" s="67">
        <f>Table36[[#This Row],[2028]]+(M2-L2)*100*$H$9</f>
        <v>25812809553.613567</v>
      </c>
      <c r="N4" s="67">
        <f>Table36[[#This Row],[2029]]+(N2-M2)*100*$H$9</f>
        <v>25812809553.613567</v>
      </c>
      <c r="O4" s="67">
        <f>Table36[[#This Row],[2030]]+(O2-N2)*100*$H$9</f>
        <v>25812809553.613567</v>
      </c>
      <c r="P4" s="67">
        <f>Table36[[#This Row],[2031]]+(P2-O2)*100*$H$9</f>
        <v>25812809553.613567</v>
      </c>
      <c r="Q4" s="79"/>
      <c r="W4" s="45"/>
      <c r="X4" s="109"/>
      <c r="Y4" s="110"/>
      <c r="Z4" s="110"/>
      <c r="AA4" s="110"/>
      <c r="AB4" s="110"/>
      <c r="AC4" s="110"/>
      <c r="AD4" s="110"/>
      <c r="AE4" s="110"/>
      <c r="AF4" s="110"/>
      <c r="AG4" s="110"/>
      <c r="AH4" s="110"/>
      <c r="AI4" s="110"/>
      <c r="AJ4" s="110"/>
      <c r="AK4" s="110"/>
      <c r="AL4" s="45"/>
    </row>
    <row r="5" spans="2:38" x14ac:dyDescent="0.2">
      <c r="G5" s="68"/>
      <c r="H5" s="69"/>
      <c r="I5" s="69"/>
      <c r="J5" s="69"/>
      <c r="K5" s="69"/>
      <c r="L5" s="69"/>
      <c r="M5" s="69"/>
      <c r="N5" s="69"/>
      <c r="O5" s="69"/>
      <c r="P5" s="69"/>
      <c r="W5" s="45"/>
      <c r="X5" s="111" t="s">
        <v>23</v>
      </c>
      <c r="Y5" s="12" t="s">
        <v>24</v>
      </c>
      <c r="Z5" s="12" t="s">
        <v>25</v>
      </c>
      <c r="AA5" s="12" t="s">
        <v>26</v>
      </c>
      <c r="AB5" s="12" t="s">
        <v>27</v>
      </c>
      <c r="AC5" s="12" t="s">
        <v>28</v>
      </c>
      <c r="AD5" s="12" t="s">
        <v>29</v>
      </c>
      <c r="AE5" s="12" t="s">
        <v>30</v>
      </c>
      <c r="AF5" s="12" t="s">
        <v>31</v>
      </c>
      <c r="AG5" s="12" t="s">
        <v>32</v>
      </c>
      <c r="AH5" s="12" t="s">
        <v>33</v>
      </c>
      <c r="AI5" s="12" t="s">
        <v>34</v>
      </c>
      <c r="AJ5" s="12" t="s">
        <v>35</v>
      </c>
      <c r="AK5" s="13" t="s">
        <v>20</v>
      </c>
      <c r="AL5" s="45"/>
    </row>
    <row r="6" spans="2:38" x14ac:dyDescent="0.2">
      <c r="C6" s="70"/>
      <c r="D6" s="70"/>
      <c r="E6" s="70"/>
      <c r="F6" s="70"/>
      <c r="G6" s="71"/>
      <c r="H6" s="72"/>
      <c r="I6" s="72"/>
      <c r="J6" s="72"/>
      <c r="K6" s="69"/>
      <c r="L6" s="69"/>
      <c r="M6" s="69"/>
      <c r="N6" s="69"/>
      <c r="O6" s="69"/>
      <c r="P6" s="69"/>
      <c r="W6" s="45"/>
      <c r="X6" s="112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5"/>
      <c r="AL6" s="45"/>
    </row>
    <row r="7" spans="2:38" x14ac:dyDescent="0.2">
      <c r="G7" s="68"/>
      <c r="H7" s="69"/>
      <c r="I7" s="69"/>
      <c r="J7" s="69"/>
      <c r="K7" s="69"/>
      <c r="L7" s="69"/>
      <c r="M7" s="69"/>
      <c r="N7" s="69"/>
      <c r="O7" s="69"/>
      <c r="P7" s="69"/>
      <c r="W7" s="45"/>
      <c r="X7" s="48" t="s">
        <v>37</v>
      </c>
      <c r="Y7" s="49">
        <v>1828600993</v>
      </c>
      <c r="Z7" s="49">
        <v>1745141108</v>
      </c>
      <c r="AA7" s="49">
        <v>1942816860</v>
      </c>
      <c r="AB7" s="49">
        <v>1920153687</v>
      </c>
      <c r="AC7" s="49">
        <v>2095867421</v>
      </c>
      <c r="AD7" s="49">
        <v>1840315562</v>
      </c>
      <c r="AE7" s="49">
        <v>2153287355</v>
      </c>
      <c r="AF7" s="49">
        <v>1920548468</v>
      </c>
      <c r="AG7" s="49">
        <v>2083622376</v>
      </c>
      <c r="AH7" s="49">
        <v>2238172090</v>
      </c>
      <c r="AI7" s="49">
        <v>2127067741</v>
      </c>
      <c r="AJ7" s="49">
        <v>2064953768</v>
      </c>
      <c r="AK7" s="50">
        <f>SUM(Y7:AJ7)</f>
        <v>23960547429</v>
      </c>
      <c r="AL7" s="45"/>
    </row>
    <row r="8" spans="2:38" x14ac:dyDescent="0.2">
      <c r="G8" s="73" t="s">
        <v>69</v>
      </c>
      <c r="H8" s="74" t="s">
        <v>70</v>
      </c>
      <c r="I8" s="69"/>
      <c r="J8" s="69"/>
      <c r="K8" s="69"/>
      <c r="L8" s="69"/>
      <c r="M8" s="69"/>
      <c r="N8" s="69"/>
      <c r="O8" s="69"/>
      <c r="P8" s="69"/>
      <c r="W8" s="45"/>
      <c r="X8" s="48" t="s">
        <v>38</v>
      </c>
      <c r="Y8" s="49">
        <v>1464166513</v>
      </c>
      <c r="Z8" s="49">
        <v>1414936358</v>
      </c>
      <c r="AA8" s="49">
        <v>1357083300</v>
      </c>
      <c r="AB8" s="49">
        <v>1388031906</v>
      </c>
      <c r="AC8" s="49">
        <v>1607714938</v>
      </c>
      <c r="AD8" s="49">
        <v>1718436321</v>
      </c>
      <c r="AE8" s="49">
        <v>1752236298</v>
      </c>
      <c r="AF8" s="49">
        <v>1703714897</v>
      </c>
      <c r="AG8" s="49">
        <v>1643490893</v>
      </c>
      <c r="AH8" s="49">
        <v>1776976086</v>
      </c>
      <c r="AI8" s="49">
        <v>1783782368</v>
      </c>
      <c r="AJ8" s="49">
        <v>1573736392</v>
      </c>
      <c r="AK8" s="51">
        <f t="shared" ref="AK8:AK9" si="0">SUM(Y8:AJ8)</f>
        <v>19184306270</v>
      </c>
      <c r="AL8" s="52"/>
    </row>
    <row r="9" spans="2:38" x14ac:dyDescent="0.2">
      <c r="G9" s="75" cm="1">
        <f t="array" ref="G9">Table36[2023]-Table36[2022]</f>
        <v>2548114071.526268</v>
      </c>
      <c r="H9" s="76">
        <f>G9/(G8*100)</f>
        <v>1084303860.2239437</v>
      </c>
      <c r="I9" s="69"/>
      <c r="J9" s="69"/>
      <c r="K9" s="69"/>
      <c r="L9" s="69"/>
      <c r="M9" s="69"/>
      <c r="N9" s="69"/>
      <c r="O9" s="69"/>
      <c r="P9" s="69"/>
      <c r="W9" s="45"/>
      <c r="X9" s="48" t="s">
        <v>39</v>
      </c>
      <c r="Y9" s="49">
        <v>364434480</v>
      </c>
      <c r="Z9" s="49">
        <v>330204750</v>
      </c>
      <c r="AA9" s="49">
        <v>585733560</v>
      </c>
      <c r="AB9" s="49">
        <v>532121781</v>
      </c>
      <c r="AC9" s="49">
        <v>488152483</v>
      </c>
      <c r="AD9" s="49">
        <v>121879241</v>
      </c>
      <c r="AE9" s="49">
        <v>401051057</v>
      </c>
      <c r="AF9" s="49">
        <v>216833571</v>
      </c>
      <c r="AG9" s="49">
        <v>440131483</v>
      </c>
      <c r="AH9" s="49">
        <v>461196004</v>
      </c>
      <c r="AI9" s="49">
        <v>343285373</v>
      </c>
      <c r="AJ9" s="49">
        <v>491217376</v>
      </c>
      <c r="AK9" s="50">
        <f t="shared" si="0"/>
        <v>4776241159</v>
      </c>
      <c r="AL9" s="45"/>
    </row>
    <row r="10" spans="2:38" ht="17" thickBot="1" x14ac:dyDescent="0.25">
      <c r="G10" s="68"/>
      <c r="H10" s="69"/>
      <c r="I10" s="69"/>
      <c r="J10" s="69"/>
      <c r="K10" s="69"/>
      <c r="L10" s="69"/>
      <c r="M10" s="69"/>
      <c r="N10" s="69"/>
      <c r="O10" s="69"/>
      <c r="P10" s="69"/>
      <c r="W10" s="45"/>
      <c r="X10" s="54" t="s">
        <v>40</v>
      </c>
      <c r="Y10" s="55">
        <v>0.2</v>
      </c>
      <c r="Z10" s="55">
        <v>0.19</v>
      </c>
      <c r="AA10" s="55">
        <v>0.3</v>
      </c>
      <c r="AB10" s="55">
        <v>0.28000000000000003</v>
      </c>
      <c r="AC10" s="55">
        <v>0.23</v>
      </c>
      <c r="AD10" s="55">
        <v>7.0000000000000007E-2</v>
      </c>
      <c r="AE10" s="55">
        <v>0.19</v>
      </c>
      <c r="AF10" s="55">
        <v>0.11</v>
      </c>
      <c r="AG10" s="55">
        <v>0.21</v>
      </c>
      <c r="AH10" s="55">
        <v>0.21</v>
      </c>
      <c r="AI10" s="55">
        <v>0.16</v>
      </c>
      <c r="AJ10" s="55">
        <v>0.24</v>
      </c>
      <c r="AK10" s="55">
        <v>0.2</v>
      </c>
      <c r="AL10" s="45"/>
    </row>
    <row r="11" spans="2:38" x14ac:dyDescent="0.2"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</row>
    <row r="12" spans="2:38" ht="17" thickBot="1" x14ac:dyDescent="0.25"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</row>
    <row r="13" spans="2:38" x14ac:dyDescent="0.2">
      <c r="W13" s="45"/>
      <c r="X13" s="107" t="s">
        <v>41</v>
      </c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  <c r="AJ13" s="108"/>
      <c r="AK13" s="108"/>
      <c r="AL13" s="45"/>
    </row>
    <row r="14" spans="2:38" x14ac:dyDescent="0.2">
      <c r="F14" s="77" t="s">
        <v>73</v>
      </c>
      <c r="G14" s="78" t="s">
        <v>74</v>
      </c>
      <c r="W14" s="45"/>
      <c r="X14" s="109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  <c r="AL14" s="45"/>
    </row>
    <row r="15" spans="2:38" x14ac:dyDescent="0.2">
      <c r="W15" s="45"/>
      <c r="X15" s="111" t="s">
        <v>23</v>
      </c>
      <c r="Y15" s="12" t="s">
        <v>24</v>
      </c>
      <c r="Z15" s="12" t="s">
        <v>25</v>
      </c>
      <c r="AA15" s="12" t="s">
        <v>26</v>
      </c>
      <c r="AB15" s="12" t="s">
        <v>27</v>
      </c>
      <c r="AC15" s="12" t="s">
        <v>28</v>
      </c>
      <c r="AD15" s="12" t="s">
        <v>29</v>
      </c>
      <c r="AE15" s="12" t="s">
        <v>30</v>
      </c>
      <c r="AF15" s="12" t="s">
        <v>31</v>
      </c>
      <c r="AG15" s="12" t="s">
        <v>32</v>
      </c>
      <c r="AH15" s="12" t="s">
        <v>33</v>
      </c>
      <c r="AI15" s="12" t="s">
        <v>34</v>
      </c>
      <c r="AJ15" s="12" t="s">
        <v>35</v>
      </c>
      <c r="AK15" s="13" t="s">
        <v>20</v>
      </c>
      <c r="AL15" s="45"/>
    </row>
    <row r="16" spans="2:38" x14ac:dyDescent="0.2">
      <c r="W16" s="45"/>
      <c r="X16" s="112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6"/>
      <c r="AL16" s="45"/>
    </row>
    <row r="17" spans="23:38" x14ac:dyDescent="0.2">
      <c r="W17" s="45"/>
      <c r="X17" s="48" t="s">
        <v>37</v>
      </c>
      <c r="Y17" s="49">
        <v>2009021736</v>
      </c>
      <c r="Z17" s="49">
        <v>1836306894</v>
      </c>
      <c r="AA17" s="49">
        <v>1768759442</v>
      </c>
      <c r="AB17" s="49">
        <v>1157413290</v>
      </c>
      <c r="AC17" s="49">
        <v>1199412435</v>
      </c>
      <c r="AD17" s="49">
        <v>1619526673</v>
      </c>
      <c r="AE17" s="49">
        <v>1627351749</v>
      </c>
      <c r="AF17" s="49">
        <v>1564795878</v>
      </c>
      <c r="AG17" s="49">
        <v>1510745790</v>
      </c>
      <c r="AH17" s="49">
        <v>1493415477</v>
      </c>
      <c r="AI17" s="49">
        <v>1535571746</v>
      </c>
      <c r="AJ17" s="49">
        <v>1464415465</v>
      </c>
      <c r="AK17" s="50">
        <f>SUM(Y17:AJ17)</f>
        <v>18786736575</v>
      </c>
      <c r="AL17" s="45"/>
    </row>
    <row r="18" spans="23:38" x14ac:dyDescent="0.2">
      <c r="W18" s="45"/>
      <c r="X18" s="48" t="s">
        <v>38</v>
      </c>
      <c r="Y18" s="49">
        <v>1712288558</v>
      </c>
      <c r="Z18" s="49">
        <v>1596078085</v>
      </c>
      <c r="AA18" s="49">
        <v>1409346910</v>
      </c>
      <c r="AB18" s="49">
        <v>1160923570</v>
      </c>
      <c r="AC18" s="49">
        <v>1169086255</v>
      </c>
      <c r="AD18" s="49">
        <v>1392279879</v>
      </c>
      <c r="AE18" s="49">
        <v>1385033678</v>
      </c>
      <c r="AF18" s="49">
        <v>1368693915</v>
      </c>
      <c r="AG18" s="49">
        <v>1243651553</v>
      </c>
      <c r="AH18" s="49">
        <v>1311902597</v>
      </c>
      <c r="AI18" s="49">
        <v>1313255727</v>
      </c>
      <c r="AJ18" s="49">
        <v>1211216593</v>
      </c>
      <c r="AK18" s="51">
        <f t="shared" ref="AK18:AK19" si="1">SUM(Y18:AJ18)</f>
        <v>16273757320</v>
      </c>
      <c r="AL18" s="52"/>
    </row>
    <row r="19" spans="23:38" x14ac:dyDescent="0.2">
      <c r="W19" s="45"/>
      <c r="X19" s="48" t="s">
        <v>39</v>
      </c>
      <c r="Y19" s="49">
        <v>296733178</v>
      </c>
      <c r="Z19" s="49">
        <v>240228809</v>
      </c>
      <c r="AA19" s="49">
        <v>359412532</v>
      </c>
      <c r="AB19" s="49">
        <v>-3510280</v>
      </c>
      <c r="AC19" s="49">
        <v>30326180</v>
      </c>
      <c r="AD19" s="49">
        <v>227246794</v>
      </c>
      <c r="AE19" s="49">
        <v>242318071</v>
      </c>
      <c r="AF19" s="49">
        <v>196101963</v>
      </c>
      <c r="AG19" s="49">
        <v>267094237</v>
      </c>
      <c r="AH19" s="49">
        <v>181512880</v>
      </c>
      <c r="AI19" s="49">
        <v>222316019</v>
      </c>
      <c r="AJ19" s="49">
        <v>253198872</v>
      </c>
      <c r="AK19" s="50">
        <f t="shared" si="1"/>
        <v>2512979255</v>
      </c>
      <c r="AL19" s="45"/>
    </row>
    <row r="20" spans="23:38" ht="17" thickBot="1" x14ac:dyDescent="0.25">
      <c r="W20" s="45"/>
      <c r="X20" s="54" t="s">
        <v>40</v>
      </c>
      <c r="Y20" s="55">
        <v>0.15</v>
      </c>
      <c r="Z20" s="55">
        <v>0.13</v>
      </c>
      <c r="AA20" s="55">
        <v>0.2</v>
      </c>
      <c r="AB20" s="55">
        <v>0</v>
      </c>
      <c r="AC20" s="55">
        <v>0.03</v>
      </c>
      <c r="AD20" s="55">
        <v>0.14000000000000001</v>
      </c>
      <c r="AE20" s="55">
        <v>0.15</v>
      </c>
      <c r="AF20" s="55">
        <v>0.13</v>
      </c>
      <c r="AG20" s="55">
        <v>0.18</v>
      </c>
      <c r="AH20" s="55">
        <v>0.12</v>
      </c>
      <c r="AI20" s="55">
        <v>0.14000000000000001</v>
      </c>
      <c r="AJ20" s="55">
        <v>0.17</v>
      </c>
      <c r="AK20" s="55">
        <v>0.13</v>
      </c>
      <c r="AL20" s="45"/>
    </row>
    <row r="22" spans="23:38" ht="17" thickBot="1" x14ac:dyDescent="0.25"/>
    <row r="23" spans="23:38" ht="15" customHeight="1" x14ac:dyDescent="0.2">
      <c r="X23" s="103" t="s">
        <v>42</v>
      </c>
      <c r="Y23" s="104"/>
      <c r="Z23" s="104"/>
      <c r="AA23" s="104"/>
      <c r="AB23" s="104"/>
      <c r="AC23" s="104"/>
      <c r="AD23" s="104"/>
      <c r="AE23" s="104"/>
      <c r="AF23" s="104"/>
      <c r="AG23" s="104"/>
      <c r="AH23" s="104"/>
      <c r="AI23" s="104"/>
      <c r="AJ23" s="104"/>
      <c r="AK23" s="104"/>
      <c r="AL23" s="56"/>
    </row>
    <row r="24" spans="23:38" ht="15" customHeight="1" x14ac:dyDescent="0.2">
      <c r="X24" s="105"/>
      <c r="Y24" s="106"/>
      <c r="Z24" s="106"/>
      <c r="AA24" s="106"/>
      <c r="AB24" s="106"/>
      <c r="AC24" s="106"/>
      <c r="AD24" s="106"/>
      <c r="AE24" s="106"/>
      <c r="AF24" s="106"/>
      <c r="AG24" s="106"/>
      <c r="AH24" s="106"/>
      <c r="AI24" s="106"/>
      <c r="AJ24" s="106"/>
      <c r="AK24" s="106"/>
      <c r="AL24" s="56"/>
    </row>
    <row r="25" spans="23:38" ht="20.25" customHeight="1" x14ac:dyDescent="0.2">
      <c r="X25" s="101" t="s">
        <v>23</v>
      </c>
      <c r="Y25" s="18" t="s">
        <v>24</v>
      </c>
      <c r="Z25" s="18" t="s">
        <v>25</v>
      </c>
      <c r="AA25" s="18" t="s">
        <v>26</v>
      </c>
      <c r="AB25" s="18" t="s">
        <v>27</v>
      </c>
      <c r="AC25" s="18" t="s">
        <v>28</v>
      </c>
      <c r="AD25" s="18" t="s">
        <v>29</v>
      </c>
      <c r="AE25" s="18" t="s">
        <v>30</v>
      </c>
      <c r="AF25" s="18" t="s">
        <v>31</v>
      </c>
      <c r="AG25" s="18" t="s">
        <v>32</v>
      </c>
      <c r="AH25" s="18" t="s">
        <v>33</v>
      </c>
      <c r="AI25" s="18" t="s">
        <v>34</v>
      </c>
      <c r="AJ25" s="18" t="s">
        <v>35</v>
      </c>
      <c r="AK25" s="19" t="s">
        <v>20</v>
      </c>
      <c r="AL25" s="56"/>
    </row>
    <row r="26" spans="23:38" ht="20.25" customHeight="1" x14ac:dyDescent="0.2">
      <c r="X26" s="102"/>
      <c r="Y26" s="17" t="s">
        <v>36</v>
      </c>
      <c r="Z26" s="17" t="s">
        <v>36</v>
      </c>
      <c r="AA26" s="17" t="s">
        <v>36</v>
      </c>
      <c r="AB26" s="17" t="s">
        <v>36</v>
      </c>
      <c r="AC26" s="17" t="s">
        <v>36</v>
      </c>
      <c r="AD26" s="17" t="s">
        <v>36</v>
      </c>
      <c r="AE26" s="17" t="s">
        <v>36</v>
      </c>
      <c r="AF26" s="17" t="s">
        <v>36</v>
      </c>
      <c r="AG26" s="17" t="s">
        <v>36</v>
      </c>
      <c r="AH26" s="17" t="s">
        <v>36</v>
      </c>
      <c r="AI26" s="17" t="s">
        <v>36</v>
      </c>
      <c r="AJ26" s="17" t="s">
        <v>36</v>
      </c>
      <c r="AK26" s="17" t="s">
        <v>36</v>
      </c>
      <c r="AL26" s="56"/>
    </row>
    <row r="27" spans="23:38" ht="20.25" customHeight="1" x14ac:dyDescent="0.2">
      <c r="X27" s="57" t="s">
        <v>37</v>
      </c>
      <c r="Y27" s="58">
        <v>1385507695</v>
      </c>
      <c r="Z27" s="58">
        <v>1278895218</v>
      </c>
      <c r="AA27" s="58">
        <v>1553567914</v>
      </c>
      <c r="AB27" s="58">
        <v>1498335904</v>
      </c>
      <c r="AC27" s="58">
        <v>1513880023</v>
      </c>
      <c r="AD27" s="58">
        <v>1485989484</v>
      </c>
      <c r="AE27" s="58">
        <v>1202244634</v>
      </c>
      <c r="AF27" s="58">
        <v>1288769316</v>
      </c>
      <c r="AG27" s="58">
        <v>1473730335</v>
      </c>
      <c r="AH27" s="58">
        <v>1549826183</v>
      </c>
      <c r="AI27" s="58">
        <v>1525332695</v>
      </c>
      <c r="AJ27" s="58">
        <v>1570156148</v>
      </c>
      <c r="AK27" s="50">
        <f t="shared" ref="AK27:AK29" si="2">SUM(Y27:AJ27)</f>
        <v>17326235549</v>
      </c>
      <c r="AL27" s="56"/>
    </row>
    <row r="28" spans="23:38" ht="20.25" customHeight="1" x14ac:dyDescent="0.2">
      <c r="X28" s="57" t="s">
        <v>38</v>
      </c>
      <c r="Y28" s="58">
        <v>1240219258.4195299</v>
      </c>
      <c r="Z28" s="58">
        <v>1197401745.0401101</v>
      </c>
      <c r="AA28" s="58">
        <v>1265483275.2829499</v>
      </c>
      <c r="AB28" s="58">
        <v>1333070616.9105799</v>
      </c>
      <c r="AC28" s="58">
        <v>1313834759.7397101</v>
      </c>
      <c r="AD28" s="58">
        <v>1228318489.5090098</v>
      </c>
      <c r="AE28" s="58">
        <v>1066084813.28306</v>
      </c>
      <c r="AF28" s="58">
        <v>1143888148.5901999</v>
      </c>
      <c r="AG28" s="58">
        <v>1297990406.0931401</v>
      </c>
      <c r="AH28" s="58">
        <v>1329996337.9634202</v>
      </c>
      <c r="AI28" s="58">
        <v>1295071113.35763</v>
      </c>
      <c r="AJ28" s="58">
        <v>1263656140.3652401</v>
      </c>
      <c r="AK28" s="51">
        <f t="shared" si="2"/>
        <v>14975015104.554581</v>
      </c>
      <c r="AL28" s="56"/>
    </row>
    <row r="29" spans="23:38" ht="20.25" customHeight="1" x14ac:dyDescent="0.2">
      <c r="X29" s="57" t="s">
        <v>39</v>
      </c>
      <c r="Y29" s="58">
        <f t="shared" ref="Y29:AJ29" si="3">Y27-Y28</f>
        <v>145288436.58047009</v>
      </c>
      <c r="Z29" s="58">
        <f t="shared" si="3"/>
        <v>81493472.959889889</v>
      </c>
      <c r="AA29" s="58">
        <f t="shared" si="3"/>
        <v>288084638.71705008</v>
      </c>
      <c r="AB29" s="58">
        <f t="shared" si="3"/>
        <v>165265287.08942008</v>
      </c>
      <c r="AC29" s="58">
        <f t="shared" si="3"/>
        <v>200045263.26028991</v>
      </c>
      <c r="AD29" s="58">
        <f t="shared" si="3"/>
        <v>257670994.49099016</v>
      </c>
      <c r="AE29" s="58">
        <f t="shared" si="3"/>
        <v>136159820.71694005</v>
      </c>
      <c r="AF29" s="58">
        <f t="shared" si="3"/>
        <v>144881167.40980005</v>
      </c>
      <c r="AG29" s="58">
        <f t="shared" si="3"/>
        <v>175739928.90685987</v>
      </c>
      <c r="AH29" s="58">
        <f t="shared" si="3"/>
        <v>219829845.03657985</v>
      </c>
      <c r="AI29" s="58">
        <f t="shared" si="3"/>
        <v>230261581.64236999</v>
      </c>
      <c r="AJ29" s="58">
        <f t="shared" si="3"/>
        <v>306500007.6347599</v>
      </c>
      <c r="AK29" s="50">
        <f t="shared" si="2"/>
        <v>2351220444.4454198</v>
      </c>
      <c r="AL29" s="56"/>
    </row>
    <row r="30" spans="23:38" ht="20.25" customHeight="1" thickBot="1" x14ac:dyDescent="0.25">
      <c r="X30" s="59" t="s">
        <v>40</v>
      </c>
      <c r="Y30" s="60">
        <f>Y29/Y27</f>
        <v>0.1048629589750998</v>
      </c>
      <c r="Z30" s="60">
        <f t="shared" ref="Z30:AK30" si="4">Z29/Z27</f>
        <v>6.3721774710623624E-2</v>
      </c>
      <c r="AA30" s="60">
        <f t="shared" si="4"/>
        <v>0.18543420993763526</v>
      </c>
      <c r="AB30" s="60">
        <f t="shared" si="4"/>
        <v>0.11029922372428184</v>
      </c>
      <c r="AC30" s="60">
        <f t="shared" si="4"/>
        <v>0.13214076427527435</v>
      </c>
      <c r="AD30" s="60">
        <f t="shared" si="4"/>
        <v>0.1734002812707591</v>
      </c>
      <c r="AE30" s="60">
        <f t="shared" si="4"/>
        <v>0.11325467119276827</v>
      </c>
      <c r="AF30" s="60">
        <f t="shared" si="4"/>
        <v>0.11241823157263937</v>
      </c>
      <c r="AG30" s="60">
        <f t="shared" si="4"/>
        <v>0.11924836229068995</v>
      </c>
      <c r="AH30" s="60">
        <f t="shared" si="4"/>
        <v>0.14184161259364905</v>
      </c>
      <c r="AI30" s="60">
        <f t="shared" si="4"/>
        <v>0.15095826792224498</v>
      </c>
      <c r="AJ30" s="60">
        <f t="shared" si="4"/>
        <v>0.19520352037927372</v>
      </c>
      <c r="AK30" s="60">
        <f t="shared" si="4"/>
        <v>0.13570290198329449</v>
      </c>
      <c r="AL30" s="56"/>
    </row>
    <row r="31" spans="23:38" x14ac:dyDescent="0.2">
      <c r="AL31" s="56"/>
    </row>
    <row r="32" spans="23:38" ht="17" thickBot="1" x14ac:dyDescent="0.25">
      <c r="AL32" s="56"/>
    </row>
    <row r="33" spans="24:38" ht="15" customHeight="1" x14ac:dyDescent="0.2">
      <c r="X33" s="103" t="s">
        <v>43</v>
      </c>
      <c r="Y33" s="104"/>
      <c r="Z33" s="104"/>
      <c r="AA33" s="104"/>
      <c r="AB33" s="104"/>
      <c r="AC33" s="104"/>
      <c r="AD33" s="104"/>
      <c r="AE33" s="104"/>
      <c r="AF33" s="104"/>
      <c r="AG33" s="104"/>
      <c r="AH33" s="104"/>
      <c r="AI33" s="104"/>
      <c r="AJ33" s="104"/>
      <c r="AK33" s="104"/>
      <c r="AL33" s="56"/>
    </row>
    <row r="34" spans="24:38" ht="15" customHeight="1" x14ac:dyDescent="0.2">
      <c r="X34" s="105"/>
      <c r="Y34" s="106"/>
      <c r="Z34" s="106"/>
      <c r="AA34" s="106"/>
      <c r="AB34" s="106"/>
      <c r="AC34" s="106"/>
      <c r="AD34" s="106"/>
      <c r="AE34" s="106"/>
      <c r="AF34" s="106"/>
      <c r="AG34" s="106"/>
      <c r="AH34" s="106"/>
      <c r="AI34" s="106"/>
      <c r="AJ34" s="106"/>
      <c r="AK34" s="106"/>
      <c r="AL34" s="56"/>
    </row>
    <row r="35" spans="24:38" ht="20.25" customHeight="1" x14ac:dyDescent="0.2">
      <c r="X35" s="101" t="s">
        <v>23</v>
      </c>
      <c r="Y35" s="18" t="s">
        <v>24</v>
      </c>
      <c r="Z35" s="18" t="s">
        <v>25</v>
      </c>
      <c r="AA35" s="18" t="s">
        <v>26</v>
      </c>
      <c r="AB35" s="18" t="s">
        <v>27</v>
      </c>
      <c r="AC35" s="18" t="s">
        <v>28</v>
      </c>
      <c r="AD35" s="18" t="s">
        <v>29</v>
      </c>
      <c r="AE35" s="18" t="s">
        <v>30</v>
      </c>
      <c r="AF35" s="18" t="s">
        <v>31</v>
      </c>
      <c r="AG35" s="18" t="s">
        <v>32</v>
      </c>
      <c r="AH35" s="18" t="s">
        <v>33</v>
      </c>
      <c r="AI35" s="18" t="s">
        <v>34</v>
      </c>
      <c r="AJ35" s="18" t="s">
        <v>35</v>
      </c>
      <c r="AK35" s="19" t="s">
        <v>20</v>
      </c>
      <c r="AL35" s="56"/>
    </row>
    <row r="36" spans="24:38" ht="20.25" customHeight="1" x14ac:dyDescent="0.2">
      <c r="X36" s="102"/>
      <c r="Y36" s="17" t="s">
        <v>36</v>
      </c>
      <c r="Z36" s="17" t="s">
        <v>36</v>
      </c>
      <c r="AA36" s="17" t="s">
        <v>36</v>
      </c>
      <c r="AB36" s="17" t="s">
        <v>36</v>
      </c>
      <c r="AC36" s="17" t="s">
        <v>36</v>
      </c>
      <c r="AD36" s="17" t="s">
        <v>36</v>
      </c>
      <c r="AE36" s="17" t="s">
        <v>36</v>
      </c>
      <c r="AF36" s="17" t="s">
        <v>36</v>
      </c>
      <c r="AG36" s="17" t="s">
        <v>36</v>
      </c>
      <c r="AH36" s="17" t="s">
        <v>36</v>
      </c>
      <c r="AI36" s="17" t="s">
        <v>36</v>
      </c>
      <c r="AJ36" s="17" t="s">
        <v>36</v>
      </c>
      <c r="AK36" s="17" t="s">
        <v>36</v>
      </c>
      <c r="AL36" s="56"/>
    </row>
    <row r="37" spans="24:38" ht="20.25" customHeight="1" x14ac:dyDescent="0.2">
      <c r="X37" s="57" t="s">
        <v>37</v>
      </c>
      <c r="Y37" s="58">
        <v>1527852327</v>
      </c>
      <c r="Z37" s="58">
        <v>1226812465</v>
      </c>
      <c r="AA37" s="58">
        <v>1466469354</v>
      </c>
      <c r="AB37" s="58">
        <v>1446350581</v>
      </c>
      <c r="AC37" s="58">
        <v>1485219611</v>
      </c>
      <c r="AD37" s="58">
        <v>1612400274</v>
      </c>
      <c r="AE37" s="58">
        <v>1665229226</v>
      </c>
      <c r="AF37" s="58">
        <v>1734078744</v>
      </c>
      <c r="AG37" s="58"/>
      <c r="AH37" s="58"/>
      <c r="AI37" s="58"/>
      <c r="AJ37" s="58"/>
      <c r="AK37" s="50">
        <f t="shared" ref="AK37:AK39" si="5">SUM(Y37:AJ37)</f>
        <v>12164412582</v>
      </c>
      <c r="AL37" s="56"/>
    </row>
    <row r="38" spans="24:38" ht="20.25" customHeight="1" x14ac:dyDescent="0.2">
      <c r="X38" s="57" t="s">
        <v>38</v>
      </c>
      <c r="Y38" s="58">
        <v>1236166307.58197</v>
      </c>
      <c r="Z38" s="58">
        <v>1030169987.7952399</v>
      </c>
      <c r="AA38" s="58">
        <v>1155845619.4536901</v>
      </c>
      <c r="AB38" s="58">
        <v>1207562673.16517</v>
      </c>
      <c r="AC38" s="58">
        <v>1249363782.98457</v>
      </c>
      <c r="AD38" s="58">
        <v>1285715886.2481</v>
      </c>
      <c r="AE38" s="58">
        <v>1357633776.09799</v>
      </c>
      <c r="AF38" s="58">
        <v>1325818183.7151198</v>
      </c>
      <c r="AG38" s="58">
        <v>1325818183.7151198</v>
      </c>
      <c r="AH38" s="58">
        <v>1325818183.7151198</v>
      </c>
      <c r="AI38" s="58">
        <v>1325818183.7151198</v>
      </c>
      <c r="AJ38" s="58">
        <v>1325818183.7151198</v>
      </c>
      <c r="AK38" s="51">
        <f t="shared" si="5"/>
        <v>15151548951.902332</v>
      </c>
      <c r="AL38" s="56"/>
    </row>
    <row r="39" spans="24:38" ht="20.25" customHeight="1" x14ac:dyDescent="0.2">
      <c r="X39" s="57" t="s">
        <v>39</v>
      </c>
      <c r="Y39" s="58">
        <f t="shared" ref="Y39:AC39" si="6">Y37-Y38</f>
        <v>291686019.41803002</v>
      </c>
      <c r="Z39" s="58">
        <f t="shared" si="6"/>
        <v>196642477.20476007</v>
      </c>
      <c r="AA39" s="58">
        <f t="shared" si="6"/>
        <v>310623734.54630995</v>
      </c>
      <c r="AB39" s="58">
        <f t="shared" si="6"/>
        <v>238787907.83483005</v>
      </c>
      <c r="AC39" s="58">
        <f t="shared" si="6"/>
        <v>235855828.01542997</v>
      </c>
      <c r="AD39" s="61">
        <f>AD37-AD38</f>
        <v>326684387.75189996</v>
      </c>
      <c r="AE39" s="61">
        <f>AE37-AE38</f>
        <v>307595449.90200996</v>
      </c>
      <c r="AF39" s="61">
        <f>AF37-AF38</f>
        <v>408260560.28488016</v>
      </c>
      <c r="AG39" s="58"/>
      <c r="AH39" s="58"/>
      <c r="AI39" s="58"/>
      <c r="AJ39" s="58"/>
      <c r="AK39" s="50">
        <f t="shared" si="5"/>
        <v>2316136364.9581499</v>
      </c>
      <c r="AL39" s="56"/>
    </row>
    <row r="40" spans="24:38" ht="20.25" customHeight="1" thickBot="1" x14ac:dyDescent="0.25">
      <c r="X40" s="59" t="s">
        <v>40</v>
      </c>
      <c r="Y40" s="60">
        <f>Y39/Y37</f>
        <v>0.19091244242875707</v>
      </c>
      <c r="Z40" s="60">
        <f t="shared" ref="Z40:AF40" si="7">Z39/Z37</f>
        <v>0.16028731596296591</v>
      </c>
      <c r="AA40" s="60">
        <f t="shared" si="7"/>
        <v>0.21181740600241003</v>
      </c>
      <c r="AB40" s="60">
        <f t="shared" si="7"/>
        <v>0.16509683818824425</v>
      </c>
      <c r="AC40" s="60">
        <f t="shared" si="7"/>
        <v>0.15880198878913804</v>
      </c>
      <c r="AD40" s="60">
        <f t="shared" si="7"/>
        <v>0.20260749952706841</v>
      </c>
      <c r="AE40" s="60">
        <f t="shared" si="7"/>
        <v>0.18471658141676764</v>
      </c>
      <c r="AF40" s="60">
        <f t="shared" si="7"/>
        <v>0.23543369163452485</v>
      </c>
      <c r="AG40" s="60"/>
      <c r="AH40" s="60"/>
      <c r="AI40" s="60"/>
      <c r="AJ40" s="60"/>
      <c r="AK40" s="60">
        <f>AK39/AK37</f>
        <v>0.19040264783401029</v>
      </c>
      <c r="AL40" s="56"/>
    </row>
  </sheetData>
  <mergeCells count="8">
    <mergeCell ref="X35:X36"/>
    <mergeCell ref="X25:X26"/>
    <mergeCell ref="X33:AK34"/>
    <mergeCell ref="X23:AK24"/>
    <mergeCell ref="X3:AK4"/>
    <mergeCell ref="X5:X6"/>
    <mergeCell ref="X13:AK14"/>
    <mergeCell ref="X15:X16"/>
  </mergeCells>
  <phoneticPr fontId="13" type="noConversion"/>
  <printOptions horizontalCentered="1"/>
  <pageMargins left="0.7" right="0.7" top="0.75" bottom="0.75" header="0.3" footer="0.3"/>
  <pageSetup paperSize="9" scale="20" orientation="landscape" horizontalDpi="0" verticalDpi="0"/>
  <headerFooter>
    <oddHeader>&amp;A</oddHeader>
  </headerFooter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3780340E-BA1B-F847-9019-BE235833CC33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Listrik!C4:P4</xm:f>
              <xm:sqref>Q4</xm:sqref>
            </x14:sparkline>
          </x14:sparklines>
        </x14:sparklineGroup>
      </x14:sparklineGroup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6DC12-7A07-CD4B-A996-3D5288B26601}">
  <sheetPr>
    <pageSetUpPr fitToPage="1"/>
  </sheetPr>
  <dimension ref="B2:Q15"/>
  <sheetViews>
    <sheetView showGridLines="0" zoomScale="173" workbookViewId="0">
      <selection activeCell="F7" sqref="F7"/>
    </sheetView>
  </sheetViews>
  <sheetFormatPr baseColWidth="10" defaultRowHeight="16" x14ac:dyDescent="0.2"/>
  <cols>
    <col min="1" max="1" width="10.83203125" style="1"/>
    <col min="2" max="2" width="10.83203125" style="30"/>
    <col min="3" max="5" width="7.83203125" style="1" customWidth="1"/>
    <col min="6" max="16" width="18.1640625" style="1" customWidth="1"/>
    <col min="17" max="16384" width="10.83203125" style="1"/>
  </cols>
  <sheetData>
    <row r="2" spans="2:17" x14ac:dyDescent="0.2">
      <c r="E2" s="42"/>
      <c r="F2" s="43"/>
      <c r="G2" s="43"/>
      <c r="H2" s="43"/>
      <c r="I2" s="43"/>
      <c r="J2" s="43"/>
      <c r="K2" s="80"/>
      <c r="L2" s="43"/>
      <c r="M2" s="43"/>
      <c r="N2" s="43"/>
      <c r="O2" s="43"/>
      <c r="P2" s="43"/>
    </row>
    <row r="3" spans="2:17" s="44" customFormat="1" ht="20" customHeight="1" x14ac:dyDescent="0.2">
      <c r="B3" s="6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64" t="s">
        <v>13</v>
      </c>
      <c r="L3" s="65" t="s">
        <v>14</v>
      </c>
      <c r="M3" s="65" t="s">
        <v>15</v>
      </c>
      <c r="N3" s="65" t="s">
        <v>16</v>
      </c>
      <c r="O3" s="65" t="s">
        <v>17</v>
      </c>
      <c r="P3" s="65" t="s">
        <v>18</v>
      </c>
    </row>
    <row r="4" spans="2:17" ht="20" customHeight="1" x14ac:dyDescent="0.2">
      <c r="B4" s="30" t="s">
        <v>44</v>
      </c>
      <c r="F4" s="8">
        <v>13081484452</v>
      </c>
      <c r="G4" s="8">
        <v>14763193023.428572</v>
      </c>
      <c r="H4" s="8">
        <v>15159193023.428572</v>
      </c>
      <c r="I4" s="8">
        <v>15804583023.428572</v>
      </c>
      <c r="J4" s="8">
        <v>16399663023.428572</v>
      </c>
      <c r="K4" s="66"/>
      <c r="L4" s="67"/>
      <c r="M4" s="67"/>
      <c r="N4" s="67"/>
      <c r="O4" s="67"/>
      <c r="P4" s="67"/>
    </row>
    <row r="5" spans="2:17" ht="20" customHeight="1" x14ac:dyDescent="0.2">
      <c r="B5" s="30" t="s">
        <v>47</v>
      </c>
      <c r="F5" s="8">
        <v>1983860000.04</v>
      </c>
      <c r="G5" s="8">
        <v>1986260000.04</v>
      </c>
      <c r="H5" s="8">
        <v>2058260000.04</v>
      </c>
      <c r="I5" s="8">
        <v>2058260000.04</v>
      </c>
      <c r="J5" s="8">
        <v>2058260000.04</v>
      </c>
      <c r="K5" s="66"/>
      <c r="L5" s="67"/>
      <c r="M5" s="67"/>
      <c r="N5" s="67"/>
      <c r="O5" s="67"/>
      <c r="P5" s="67"/>
    </row>
    <row r="6" spans="2:17" ht="20" customHeight="1" x14ac:dyDescent="0.2">
      <c r="B6" s="30" t="s">
        <v>48</v>
      </c>
      <c r="F6" s="8">
        <v>958260000</v>
      </c>
      <c r="G6" s="8">
        <v>958260000</v>
      </c>
      <c r="H6" s="8">
        <v>958260000</v>
      </c>
      <c r="I6" s="8">
        <v>1018260000</v>
      </c>
      <c r="J6" s="8">
        <v>1018260000</v>
      </c>
      <c r="K6" s="66"/>
      <c r="L6" s="67"/>
      <c r="M6" s="67"/>
      <c r="N6" s="67"/>
      <c r="O6" s="67"/>
      <c r="P6" s="67"/>
    </row>
    <row r="7" spans="2:17" ht="20" customHeight="1" x14ac:dyDescent="0.2">
      <c r="B7" s="30" t="s">
        <v>49</v>
      </c>
      <c r="F7" s="8">
        <v>384000000</v>
      </c>
      <c r="G7" s="8">
        <v>384000000</v>
      </c>
      <c r="H7" s="8">
        <v>384000000</v>
      </c>
      <c r="I7" s="8">
        <v>384000000</v>
      </c>
      <c r="J7" s="8">
        <v>384000000</v>
      </c>
      <c r="K7" s="66"/>
      <c r="L7" s="67"/>
      <c r="M7" s="67"/>
      <c r="N7" s="67"/>
      <c r="O7" s="67"/>
      <c r="P7" s="67"/>
    </row>
    <row r="8" spans="2:17" ht="20" customHeight="1" x14ac:dyDescent="0.2">
      <c r="B8" s="30" t="s">
        <v>50</v>
      </c>
      <c r="F8" s="8">
        <v>33000000</v>
      </c>
      <c r="G8" s="8">
        <v>33000000</v>
      </c>
      <c r="H8" s="8">
        <v>33000000</v>
      </c>
      <c r="I8" s="8">
        <v>33000000</v>
      </c>
      <c r="J8" s="8">
        <v>33000000</v>
      </c>
      <c r="K8" s="66"/>
      <c r="L8" s="67"/>
      <c r="M8" s="67"/>
      <c r="N8" s="67"/>
      <c r="O8" s="67"/>
      <c r="P8" s="67"/>
    </row>
    <row r="9" spans="2:17" ht="20" customHeight="1" thickBot="1" x14ac:dyDescent="0.25">
      <c r="F9" s="8"/>
      <c r="G9" s="8"/>
      <c r="H9" s="8"/>
      <c r="I9" s="8"/>
      <c r="J9" s="8"/>
      <c r="K9" s="66"/>
      <c r="L9" s="67"/>
      <c r="M9" s="67"/>
      <c r="N9" s="67"/>
      <c r="O9" s="67"/>
      <c r="P9" s="67"/>
    </row>
    <row r="10" spans="2:17" ht="20" customHeight="1" thickBot="1" x14ac:dyDescent="0.25">
      <c r="B10" s="30" t="s">
        <v>20</v>
      </c>
      <c r="F10" s="9">
        <f>SUBTOTAL(109,Table3[2022])</f>
        <v>16440604452.040001</v>
      </c>
      <c r="G10" s="9">
        <f>SUBTOTAL(109,Table3[2023])</f>
        <v>18124713023.468571</v>
      </c>
      <c r="H10" s="9">
        <f>SUBTOTAL(109,Table3[2024])</f>
        <v>18592713023.468571</v>
      </c>
      <c r="I10" s="9">
        <f>SUBTOTAL(109,Table3[2025])</f>
        <v>19298103023.468571</v>
      </c>
      <c r="J10" s="9">
        <f>SUBTOTAL(109,Table3[2026])</f>
        <v>19893183023.468571</v>
      </c>
      <c r="K10" s="75">
        <f>Table3[[#Totals],[2026]]+K12</f>
        <v>20493183023.468571</v>
      </c>
      <c r="L10" s="76">
        <f>Table3[[#Totals],[2027]]+L12</f>
        <v>21093183023.468571</v>
      </c>
      <c r="M10" s="76">
        <f>Table3[[#Totals],[2028]]+M12</f>
        <v>21693183023.468571</v>
      </c>
      <c r="N10" s="76">
        <f>Table3[[#Totals],[2029]]+N12</f>
        <v>22293183023.468571</v>
      </c>
      <c r="O10" s="76">
        <f>Table3[[#Totals],[2030]]+O12</f>
        <v>22893183023.468571</v>
      </c>
      <c r="P10" s="76">
        <f>Table3[[#Totals],[2031]]+P12</f>
        <v>23493183023.468571</v>
      </c>
      <c r="Q10" s="79"/>
    </row>
    <row r="11" spans="2:17" ht="20" customHeight="1" x14ac:dyDescent="0.2">
      <c r="K11" s="68"/>
      <c r="L11" s="69"/>
      <c r="M11" s="69"/>
      <c r="N11" s="69"/>
      <c r="O11" s="69"/>
      <c r="P11" s="69"/>
    </row>
    <row r="12" spans="2:17" ht="20" customHeight="1" x14ac:dyDescent="0.2">
      <c r="B12" s="30" t="s">
        <v>75</v>
      </c>
      <c r="G12" s="9">
        <f>Table3[[#Totals],[2023]]-Table3[[#Totals],[2022]]</f>
        <v>1684108571.4285698</v>
      </c>
      <c r="H12" s="9">
        <f>Table3[[#Totals],[2024]]-Table3[[#Totals],[2023]]</f>
        <v>468000000</v>
      </c>
      <c r="I12" s="9">
        <f>Table3[[#Totals],[2025]]-Table3[[#Totals],[2024]]</f>
        <v>705390000</v>
      </c>
      <c r="J12" s="9">
        <f>Table3[[#Totals],[2026]]-Table3[[#Totals],[2025]]</f>
        <v>595080000</v>
      </c>
      <c r="K12" s="75">
        <v>600000000</v>
      </c>
      <c r="L12" s="76">
        <v>600000000</v>
      </c>
      <c r="M12" s="76">
        <v>600000000</v>
      </c>
      <c r="N12" s="76">
        <v>600000000</v>
      </c>
      <c r="O12" s="76">
        <v>600000000</v>
      </c>
      <c r="P12" s="76">
        <v>600000000</v>
      </c>
    </row>
    <row r="13" spans="2:17" ht="20" customHeight="1" x14ac:dyDescent="0.2"/>
    <row r="14" spans="2:17" ht="20" customHeight="1" x14ac:dyDescent="0.2"/>
    <row r="15" spans="2:17" ht="20" customHeight="1" x14ac:dyDescent="0.2">
      <c r="J15" s="77" t="s">
        <v>71</v>
      </c>
      <c r="K15" s="78" t="s">
        <v>72</v>
      </c>
    </row>
  </sheetData>
  <phoneticPr fontId="13" type="noConversion"/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E6FB457-8602-7B4E-9F5E-FC8DAF9F259F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IT!C10:P10</xm:f>
              <xm:sqref>Q10</xm:sqref>
            </x14:sparkline>
          </x14:sparklines>
        </x14:sparklineGroup>
      </x14:sparklineGroup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FD6F6-6879-5349-9B08-2B5BECC68B7E}">
  <sheetPr>
    <pageSetUpPr fitToPage="1"/>
  </sheetPr>
  <dimension ref="B2:Q19"/>
  <sheetViews>
    <sheetView showGridLines="0" zoomScale="170" workbookViewId="0">
      <selection activeCell="F20" sqref="F20"/>
    </sheetView>
  </sheetViews>
  <sheetFormatPr baseColWidth="10" defaultRowHeight="16" x14ac:dyDescent="0.2"/>
  <cols>
    <col min="1" max="1" width="10.83203125" style="1"/>
    <col min="2" max="2" width="32.33203125" style="1" bestFit="1" customWidth="1"/>
    <col min="3" max="5" width="7.6640625" style="1" customWidth="1"/>
    <col min="6" max="16" width="17.5" style="1" customWidth="1"/>
    <col min="17" max="16384" width="10.83203125" style="1"/>
  </cols>
  <sheetData>
    <row r="2" spans="2:17" x14ac:dyDescent="0.2">
      <c r="E2" s="42" t="s">
        <v>55</v>
      </c>
      <c r="F2" s="43">
        <f>Summary!$C$3</f>
        <v>0.80651318506282987</v>
      </c>
      <c r="G2" s="43">
        <f>Summary!$D$3</f>
        <v>0.84746186247561472</v>
      </c>
      <c r="H2" s="62">
        <f>Summary!$E$3</f>
        <v>0.90940881520945416</v>
      </c>
      <c r="I2" s="63">
        <f>Summary!$F$3</f>
        <v>0.9061006849015163</v>
      </c>
      <c r="J2" s="63">
        <f>Summary!$G$3</f>
        <v>0.90275531722103852</v>
      </c>
      <c r="K2" s="63">
        <f>Summary!$H$3</f>
        <v>0.92456308122655606</v>
      </c>
      <c r="L2" s="63">
        <f>Summary!$I$3</f>
        <v>0.92228541358341343</v>
      </c>
      <c r="M2" s="63">
        <f>Summary!$J$3</f>
        <v>0.92228541358341343</v>
      </c>
      <c r="N2" s="63">
        <f>Summary!$K$3</f>
        <v>0.92228541358341343</v>
      </c>
      <c r="O2" s="63">
        <f>Summary!$L$3</f>
        <v>0.92228541358341343</v>
      </c>
      <c r="P2" s="63">
        <f>Summary!$M$3</f>
        <v>0.92228541358341343</v>
      </c>
    </row>
    <row r="3" spans="2:17" s="44" customFormat="1" ht="20" customHeight="1" x14ac:dyDescent="0.2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64" t="s">
        <v>10</v>
      </c>
      <c r="I3" s="65" t="s">
        <v>11</v>
      </c>
      <c r="J3" s="65" t="s">
        <v>12</v>
      </c>
      <c r="K3" s="65" t="s">
        <v>13</v>
      </c>
      <c r="L3" s="65" t="s">
        <v>14</v>
      </c>
      <c r="M3" s="65" t="s">
        <v>15</v>
      </c>
      <c r="N3" s="65" t="s">
        <v>16</v>
      </c>
      <c r="O3" s="65" t="s">
        <v>17</v>
      </c>
      <c r="P3" s="65" t="s">
        <v>18</v>
      </c>
    </row>
    <row r="4" spans="2:17" ht="20" customHeight="1" x14ac:dyDescent="0.2">
      <c r="B4" s="1" t="s">
        <v>51</v>
      </c>
      <c r="F4" s="8">
        <v>2064905500</v>
      </c>
      <c r="G4" s="8">
        <v>2740380825</v>
      </c>
      <c r="H4" s="68"/>
      <c r="I4" s="69"/>
      <c r="J4" s="69"/>
      <c r="K4" s="69"/>
      <c r="L4" s="69"/>
      <c r="M4" s="69"/>
      <c r="N4" s="69"/>
      <c r="O4" s="69"/>
      <c r="P4" s="69"/>
    </row>
    <row r="5" spans="2:17" ht="20" customHeight="1" x14ac:dyDescent="0.2">
      <c r="B5" s="1" t="s">
        <v>52</v>
      </c>
      <c r="F5" s="8">
        <v>1175022500</v>
      </c>
      <c r="G5" s="8">
        <v>1323836100</v>
      </c>
      <c r="H5" s="68"/>
      <c r="I5" s="69"/>
      <c r="J5" s="69"/>
      <c r="K5" s="69"/>
      <c r="L5" s="69"/>
      <c r="M5" s="69"/>
      <c r="N5" s="69"/>
      <c r="O5" s="69"/>
      <c r="P5" s="69"/>
    </row>
    <row r="6" spans="2:17" ht="20" customHeight="1" x14ac:dyDescent="0.2">
      <c r="B6" s="1" t="s">
        <v>53</v>
      </c>
      <c r="F6" s="8">
        <v>2299050000</v>
      </c>
      <c r="G6" s="8">
        <v>2416950000</v>
      </c>
      <c r="H6" s="68"/>
      <c r="I6" s="69"/>
      <c r="J6" s="69"/>
      <c r="K6" s="69"/>
      <c r="L6" s="69"/>
      <c r="M6" s="69"/>
      <c r="N6" s="69"/>
      <c r="O6" s="69"/>
      <c r="P6" s="69"/>
    </row>
    <row r="7" spans="2:17" ht="20" customHeight="1" thickBot="1" x14ac:dyDescent="0.25">
      <c r="B7" s="1" t="s">
        <v>54</v>
      </c>
      <c r="F7" s="8">
        <v>635040000</v>
      </c>
      <c r="G7" s="8">
        <v>647640000</v>
      </c>
      <c r="H7" s="68"/>
      <c r="I7" s="69"/>
      <c r="J7" s="69"/>
      <c r="K7" s="69"/>
      <c r="L7" s="69"/>
      <c r="M7" s="69"/>
      <c r="N7" s="69"/>
      <c r="O7" s="69"/>
      <c r="P7" s="69"/>
    </row>
    <row r="8" spans="2:17" ht="20" customHeight="1" thickBot="1" x14ac:dyDescent="0.25">
      <c r="B8" s="1" t="s">
        <v>20</v>
      </c>
      <c r="F8" s="9">
        <f>SUBTOTAL(109,Table4[2022])</f>
        <v>6174018000</v>
      </c>
      <c r="G8" s="9">
        <f>SUBTOTAL(109,Table4[2023])</f>
        <v>7128806925</v>
      </c>
      <c r="H8" s="81">
        <f>Table4[[#Totals],[2023]]+(H2-G2)*100*$I$11</f>
        <v>9645669240.2241859</v>
      </c>
      <c r="I8" s="82">
        <f>Table4[[#Totals],[2024]]+(I2-H2)*100*$I$11</f>
        <v>9511262168.7145729</v>
      </c>
      <c r="J8" s="82">
        <f>Table4[[#Totals],[2025]]+(J2-I2)*100*$I$11</f>
        <v>9375342168.2306099</v>
      </c>
      <c r="K8" s="82">
        <f>Table4[[#Totals],[2026]]+(K2-J2)*100*$I$11</f>
        <v>10261376702.336218</v>
      </c>
      <c r="L8" s="82">
        <f>Table4[[#Totals],[2027]]+(L2-K2)*100*$I$11</f>
        <v>10168836624.016922</v>
      </c>
      <c r="M8" s="82">
        <f>Table4[[#Totals],[2028]]+(M2-L2)*100*$I$11</f>
        <v>10168836624.016922</v>
      </c>
      <c r="N8" s="82">
        <f>Table4[[#Totals],[2029]]+(N2-M2)*100*$I$11</f>
        <v>10168836624.016922</v>
      </c>
      <c r="O8" s="82">
        <f>Table4[[#Totals],[2030]]+(O2-N2)*100*$I$11</f>
        <v>10168836624.016922</v>
      </c>
      <c r="P8" s="82">
        <f>Table4[[#Totals],[2031]]+(P2-O2)*100*$I$11</f>
        <v>10168836624.016922</v>
      </c>
      <c r="Q8" s="79"/>
    </row>
    <row r="9" spans="2:17" ht="20" customHeight="1" x14ac:dyDescent="0.2">
      <c r="C9" s="8"/>
      <c r="D9" s="8"/>
      <c r="H9" s="68"/>
      <c r="I9" s="69"/>
      <c r="J9" s="69"/>
      <c r="K9" s="69"/>
      <c r="L9" s="69"/>
      <c r="M9" s="69"/>
      <c r="N9" s="69"/>
      <c r="O9" s="69"/>
      <c r="P9" s="69"/>
    </row>
    <row r="10" spans="2:17" ht="20" customHeight="1" x14ac:dyDescent="0.2">
      <c r="C10" s="8"/>
      <c r="D10" s="8"/>
      <c r="H10" s="73" t="s">
        <v>69</v>
      </c>
      <c r="I10" s="74" t="s">
        <v>70</v>
      </c>
      <c r="J10" s="69"/>
      <c r="K10" s="69"/>
      <c r="L10" s="69"/>
      <c r="M10" s="69"/>
      <c r="N10" s="69"/>
      <c r="O10" s="69"/>
      <c r="P10" s="69"/>
    </row>
    <row r="11" spans="2:17" ht="20" customHeight="1" x14ac:dyDescent="0.2">
      <c r="C11" s="8"/>
      <c r="D11" s="8"/>
      <c r="H11" s="75">
        <f>Table4[[#Totals],[2023]]-Table4[[#Totals],[2022]]</f>
        <v>954788925</v>
      </c>
      <c r="I11" s="76">
        <f>H11/(H10*100)</f>
        <v>406293159.57446808</v>
      </c>
      <c r="J11" s="69"/>
      <c r="K11" s="69"/>
      <c r="L11" s="69"/>
      <c r="M11" s="69"/>
      <c r="N11" s="69"/>
      <c r="O11" s="69"/>
      <c r="P11" s="69"/>
    </row>
    <row r="12" spans="2:17" ht="20" customHeight="1" x14ac:dyDescent="0.2">
      <c r="C12" s="8"/>
      <c r="D12" s="8"/>
      <c r="H12" s="68"/>
      <c r="I12" s="69"/>
      <c r="J12" s="69"/>
      <c r="K12" s="69"/>
      <c r="L12" s="69"/>
      <c r="M12" s="69"/>
      <c r="N12" s="69"/>
      <c r="O12" s="69"/>
      <c r="P12" s="69"/>
    </row>
    <row r="13" spans="2:17" ht="20" customHeight="1" x14ac:dyDescent="0.2">
      <c r="C13" s="8"/>
      <c r="D13" s="8"/>
    </row>
    <row r="14" spans="2:17" ht="20" customHeight="1" x14ac:dyDescent="0.2">
      <c r="G14" s="77" t="s">
        <v>79</v>
      </c>
      <c r="H14" s="78" t="s">
        <v>72</v>
      </c>
    </row>
    <row r="19" spans="6:7" x14ac:dyDescent="0.2">
      <c r="F19" s="1" t="s">
        <v>114</v>
      </c>
      <c r="G19" s="56">
        <v>3533403600</v>
      </c>
    </row>
  </sheetData>
  <phoneticPr fontId="13" type="noConversion"/>
  <printOptions horizontalCentered="1"/>
  <pageMargins left="0.7" right="0.7" top="0.75" bottom="0.75" header="0.3" footer="0.3"/>
  <pageSetup paperSize="9" scale="45" orientation="landscape" horizontalDpi="0" verticalDpi="0"/>
  <headerFooter>
    <oddHeader>&amp;A</oddHeader>
  </headerFooter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C1C1B45-CED4-4748-8DA8-96829A57837B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Parkir!C8:P8</xm:f>
              <xm:sqref>Q8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TE Office</vt:lpstr>
      <vt:lpstr>TE Office Old</vt:lpstr>
      <vt:lpstr>IN OUT</vt:lpstr>
      <vt:lpstr>Ampera</vt:lpstr>
      <vt:lpstr>SH</vt:lpstr>
      <vt:lpstr>Dago</vt:lpstr>
      <vt:lpstr>Listrik</vt:lpstr>
      <vt:lpstr>IT</vt:lpstr>
      <vt:lpstr>Parkir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Samawi Samadikun</cp:lastModifiedBy>
  <cp:lastPrinted>2022-09-29T10:39:50Z</cp:lastPrinted>
  <dcterms:created xsi:type="dcterms:W3CDTF">2022-09-06T10:21:49Z</dcterms:created>
  <dcterms:modified xsi:type="dcterms:W3CDTF">2023-09-07T09:34:57Z</dcterms:modified>
</cp:coreProperties>
</file>