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59" documentId="13_ncr:1_{18F7369D-1673-3E4F-94EE-D5DF4007A03F}" xr6:coauthVersionLast="47" xr6:coauthVersionMax="47" xr10:uidLastSave="{BE670252-A83F-644A-91C2-23AA30B358D7}"/>
  <bookViews>
    <workbookView xWindow="-19620" yWindow="-41700" windowWidth="45200" windowHeight="39460" activeTab="4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6" l="1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5" i="1" a="1"/>
  <c r="H15" i="1" s="1"/>
  <c r="L8" i="4"/>
  <c r="I32" i="1" s="1"/>
  <c r="H17" i="1"/>
  <c r="L4" i="2" l="1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7" i="1"/>
  <c r="M32" i="1"/>
  <c r="M15" i="1" a="1"/>
  <c r="M15" i="1" s="1"/>
  <c r="M30" i="1" a="1"/>
  <c r="M30" i="1" s="1"/>
  <c r="G4" i="9"/>
  <c r="H4" i="9" l="1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<sst xmlns="http://schemas.openxmlformats.org/spreadsheetml/2006/main" count="383" uniqueCount="116">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</sst>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18" fillId="0" borderId="0" xfId="1" applyNumberFormat="1" applyFont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318400736080.66931</c:v>
                </c:pt>
                <c:pt idx="1">
                  <c:v>333537651678.32971</c:v>
                </c:pt>
                <c:pt idx="2">
                  <c:v>359479028385.64252</c:v>
                </c:pt>
                <c:pt idx="3">
                  <c:v>362952311488.48706</c:v>
                </c:pt>
                <c:pt idx="4">
                  <c:v>365108783183.58191</c:v>
                </c:pt>
                <c:pt idx="5">
                  <c:v>378482319217.88757</c:v>
                </c:pt>
                <c:pt idx="6">
                  <c:v>379942340334.99603</c:v>
                </c:pt>
                <c:pt idx="7">
                  <c:v>381042340334.99603</c:v>
                </c:pt>
                <c:pt idx="8">
                  <c:v>383336462834.65173</c:v>
                </c:pt>
                <c:pt idx="9">
                  <c:v>384334503667.87024</c:v>
                </c:pt>
                <c:pt idx="10">
                  <c:v>384934503667.87024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323660894070.00977</c:v>
                </c:pt>
                <c:pt idx="2">
                  <c:v>347333144031.66998</c:v>
                </c:pt>
                <c:pt idx="3">
                  <c:v>349746289422.0296</c:v>
                </c:pt>
                <c:pt idx="4">
                  <c:v>350484359077.12445</c:v>
                </c:pt>
                <c:pt idx="5">
                  <c:v>349711461383.9754</c:v>
                </c:pt>
                <c:pt idx="6">
                  <c:v>351150099532.67609</c:v>
                </c:pt>
                <c:pt idx="7">
                  <c:v>352250099532.67609</c:v>
                </c:pt>
                <c:pt idx="8">
                  <c:v>354342806082.33173</c:v>
                </c:pt>
                <c:pt idx="9">
                  <c:v>355273708265.55023</c:v>
                </c:pt>
                <c:pt idx="10">
                  <c:v>355873708265.55023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0.80648025591983208</c:v>
                </c:pt>
                <c:pt idx="1">
                  <c:v>0.84027360892539138</c:v>
                </c:pt>
                <c:pt idx="2">
                  <c:v>0.89843040357971071</c:v>
                </c:pt>
                <c:pt idx="3">
                  <c:v>0.89943787070972747</c:v>
                </c:pt>
                <c:pt idx="4">
                  <c:v>0.89947903213847469</c:v>
                </c:pt>
                <c:pt idx="5">
                  <c:v>0.92448668561480107</c:v>
                </c:pt>
                <c:pt idx="6">
                  <c:v>0.92220901797165855</c:v>
                </c:pt>
                <c:pt idx="7">
                  <c:v>0.92220901797165855</c:v>
                </c:pt>
                <c:pt idx="8">
                  <c:v>0.92220901797165855</c:v>
                </c:pt>
                <c:pt idx="9">
                  <c:v>0.92220901797165855</c:v>
                </c:pt>
                <c:pt idx="10">
                  <c:v>0.92220901797165855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Old'!$C$9:$M$9</c:f>
              <c:numCache>
                <c:formatCode>0.00%</c:formatCode>
                <c:ptCount val="11"/>
                <c:pt idx="0">
                  <c:v>0.80649672049133092</c:v>
                </c:pt>
                <c:pt idx="1">
                  <c:v>0.84029007349689022</c:v>
                </c:pt>
                <c:pt idx="2">
                  <c:v>0.90223684786453839</c:v>
                </c:pt>
                <c:pt idx="3">
                  <c:v>0.90450764156566521</c:v>
                </c:pt>
                <c:pt idx="4">
                  <c:v>0.90454880299441243</c:v>
                </c:pt>
                <c:pt idx="5">
                  <c:v>0.92955645647073892</c:v>
                </c:pt>
                <c:pt idx="6">
                  <c:v>0.92727878882759629</c:v>
                </c:pt>
                <c:pt idx="7">
                  <c:v>0.92727878882759629</c:v>
                </c:pt>
                <c:pt idx="8">
                  <c:v>0.92727878882759629</c:v>
                </c:pt>
                <c:pt idx="9">
                  <c:v>0.92727878882759629</c:v>
                </c:pt>
                <c:pt idx="10">
                  <c:v>0.92727878882759629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257601884350.43256</c:v>
                </c:pt>
                <c:pt idx="2">
                  <c:v>276123610963.60236</c:v>
                </c:pt>
                <c:pt idx="3">
                  <c:v>276479683539.30579</c:v>
                </c:pt>
                <c:pt idx="4">
                  <c:v>275719836739.30579</c:v>
                </c:pt>
                <c:pt idx="5">
                  <c:v>285149141506.41614</c:v>
                </c:pt>
                <c:pt idx="6">
                  <c:v>284722672448.04254</c:v>
                </c:pt>
                <c:pt idx="7">
                  <c:v>284722672448.04254</c:v>
                </c:pt>
                <c:pt idx="8">
                  <c:v>285916794947.69824</c:v>
                </c:pt>
                <c:pt idx="9">
                  <c:v>286314835780.91675</c:v>
                </c:pt>
                <c:pt idx="10">
                  <c:v>286314835780.91675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0" dataCellStyle="Comma">
      <calculatedColumnFormula>$C$13</calculatedColumnFormula>
    </tableColumn>
    <tableColumn id="3" xr3:uid="{B3959DCD-8B88-6743-B7BD-90FB273FDD75}" name="2020" totalsRowFunction="sum" dataDxfId="224" totalsRowDxfId="223" dataCellStyle="Comma">
      <calculatedColumnFormula>$C$13</calculatedColumnFormula>
    </tableColumn>
    <tableColumn id="4" xr3:uid="{5C2B67C1-E6FB-C342-8D11-D84155D57722}" name="2021" totalsRowFunction="sum" dataDxfId="222" totalsRowDxfId="221" dataCellStyle="Comma">
      <calculatedColumnFormula>$C$13</calculatedColumnFormula>
    </tableColumn>
    <tableColumn id="5" xr3:uid="{BD4B3AD5-EF20-2E41-AAE9-C449FBE6EBED}" name="2022" totalsRowFunction="sum" dataDxfId="220" totalsRowDxfId="219" dataCellStyle="Comma">
      <calculatedColumnFormula>$C$13</calculatedColumnFormula>
    </tableColumn>
    <tableColumn id="6" xr3:uid="{0BCB1F53-3AFA-9248-B92C-FD192EA39765}" name="2023" totalsRowFunction="sum" dataDxfId="218" dataCellStyle="Comma">
      <calculatedColumnFormula>$C$17</calculatedColumnFormula>
    </tableColumn>
    <tableColumn id="7" xr3:uid="{619BD53B-7FEB-E244-8BE1-662D18A71EC8}" name="2024" dataDxfId="217" totalsRowDxfId="216" dataCellStyle="Comma">
      <calculatedColumnFormula>$C$17</calculatedColumnFormula>
    </tableColumn>
    <tableColumn id="8" xr3:uid="{C2DAE3E4-F421-2646-9C3B-D49B961BFAE8}" name="2025" dataDxfId="215" totalsRowDxfId="214" dataCellStyle="Comma">
      <calculatedColumnFormula>$C$17</calculatedColumnFormula>
    </tableColumn>
    <tableColumn id="9" xr3:uid="{86937C3C-E018-DD45-AC99-F0436F21D37E}" name="2026" dataDxfId="213" totalsRowDxfId="212" dataCellStyle="Comma">
      <calculatedColumnFormula>$C$17</calculatedColumnFormula>
    </tableColumn>
    <tableColumn id="10" xr3:uid="{0ED2701F-7272-7F4F-BDAC-5A0B36F34735}" name="2027" dataDxfId="211" totalsRowDxfId="210" dataCellStyle="Comma">
      <calculatedColumnFormula>$C$17</calculatedColumnFormula>
    </tableColumn>
    <tableColumn id="11" xr3:uid="{924953E8-0B08-084C-88A4-2E9D4ED12687}" name="2028" dataDxfId="209" totalsRowDxfId="208" dataCellStyle="Comma">
      <calculatedColumnFormula>$C$17</calculatedColumnFormula>
    </tableColumn>
    <tableColumn id="12" xr3:uid="{CEC3F315-2D2D-2E49-86D2-AC75553FF7CC}" name="2029" dataDxfId="207" totalsRowDxfId="206" dataCellStyle="Comma">
      <calculatedColumnFormula>$C$17</calculatedColumnFormula>
    </tableColumn>
    <tableColumn id="13" xr3:uid="{3E32D8D0-438C-544C-AE07-B7766903BA6C}" name="2030" dataDxfId="205" totalsRowDxfId="204" dataCellStyle="Comma">
      <calculatedColumnFormula>$C$17</calculatedColumnFormula>
    </tableColumn>
    <tableColumn id="14" xr3:uid="{253B6EAB-1714-D944-9EC6-E76956CEEA2E}" name="2031" dataDxfId="203" totalsRowDxfId="202" dataCellStyle="Comma">
      <calculatedColumnFormula>$C$17</calculatedColumnFormula>
    </tableColumn>
    <tableColumn id="15" xr3:uid="{5944E335-1D68-4F4D-9F09-0FF522318C19}" name="2032" dataDxfId="201" totalsRowDxfId="200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9" dataDxfId="198" totalsRowDxfId="197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6"/>
    <tableColumn id="2" xr3:uid="{968525AF-9A75-2E44-BD06-AB6B9951BB35}" name="2019" totalsRowFunction="sum" dataDxfId="195" totalsRowDxfId="194" dataCellStyle="Comma">
      <calculatedColumnFormula>#REF!</calculatedColumnFormula>
    </tableColumn>
    <tableColumn id="3" xr3:uid="{77B1E53B-BEFB-A94B-B3A4-961E7F2EDB56}" name="2020" totalsRowFunction="sum" dataDxfId="193" totalsRowDxfId="192" dataCellStyle="Comma">
      <calculatedColumnFormula>#REF!</calculatedColumnFormula>
    </tableColumn>
    <tableColumn id="4" xr3:uid="{96632A6A-B9AD-F349-B2A8-AF5BB8455E0D}" name="2021" totalsRowFunction="sum" dataDxfId="191" totalsRowDxfId="190" dataCellStyle="Comma">
      <calculatedColumnFormula>#REF!</calculatedColumnFormula>
    </tableColumn>
    <tableColumn id="5" xr3:uid="{FF7AB7B8-0072-BC40-AF54-9293570E7C76}" name="2022" totalsRowFunction="sum" dataDxfId="189" totalsRowDxfId="188" dataCellStyle="Comma">
      <calculatedColumnFormula>#REF!</calculatedColumnFormula>
    </tableColumn>
    <tableColumn id="6" xr3:uid="{5DD61822-2AB9-3149-BF22-B919056AABCB}" name="2023" totalsRowFunction="sum" dataDxfId="187" dataCellStyle="Comma">
      <calculatedColumnFormula>#REF!</calculatedColumnFormula>
    </tableColumn>
    <tableColumn id="7" xr3:uid="{3773122B-9B13-084F-B2AF-167F2BD53E5E}" name="2024" dataDxfId="186" totalsRowDxfId="185" dataCellStyle="Comma">
      <calculatedColumnFormula>#REF!</calculatedColumnFormula>
    </tableColumn>
    <tableColumn id="8" xr3:uid="{E69D5601-AC96-A14E-920B-763C0145CB77}" name="2025" dataDxfId="184" totalsRowDxfId="183" dataCellStyle="Comma">
      <calculatedColumnFormula>#REF!</calculatedColumnFormula>
    </tableColumn>
    <tableColumn id="9" xr3:uid="{18DB03C9-598D-F249-B274-D3EF93826CC5}" name="2026" dataDxfId="182" totalsRowDxfId="181" dataCellStyle="Comma">
      <calculatedColumnFormula>#REF!</calculatedColumnFormula>
    </tableColumn>
    <tableColumn id="10" xr3:uid="{8D797980-B65E-A648-AA40-32BC96023834}" name="2027" dataDxfId="180" totalsRowDxfId="179" dataCellStyle="Comma">
      <calculatedColumnFormula>#REF!</calculatedColumnFormula>
    </tableColumn>
    <tableColumn id="11" xr3:uid="{851A9367-4BAD-9E48-BC90-556E33B13381}" name="2028" dataDxfId="178" totalsRowDxfId="177" dataCellStyle="Comma">
      <calculatedColumnFormula>#REF!</calculatedColumnFormula>
    </tableColumn>
    <tableColumn id="12" xr3:uid="{8FF7E486-9DA2-624E-BE69-F34407DB907C}" name="2029" dataDxfId="176" totalsRowDxfId="175" dataCellStyle="Comma">
      <calculatedColumnFormula>#REF!</calculatedColumnFormula>
    </tableColumn>
    <tableColumn id="13" xr3:uid="{10581223-ACA5-C44A-93A3-C7BB88D90041}" name="2030" dataDxfId="174" totalsRowDxfId="173" dataCellStyle="Comma">
      <calculatedColumnFormula>#REF!</calculatedColumnFormula>
    </tableColumn>
    <tableColumn id="14" xr3:uid="{FD519FB0-316F-794B-B2D5-6EC639574CCC}" name="2031" dataDxfId="172" totalsRowDxfId="171" dataCellStyle="Comma">
      <calculatedColumnFormula>#REF!</calculatedColumnFormula>
    </tableColumn>
    <tableColumn id="15" xr3:uid="{EF1B48BD-4B23-C048-984F-969A36EC6CE1}" name="2032" dataDxfId="170" totalsRowDxfId="169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8" dataDxfId="167" totalsRowDxfId="166" dataCellStyle="Comma">
  <autoFilter ref="B8:P10" xr:uid="{E6BE8819-74EF-0243-83D9-EC696A1D351F}"/>
  <tableColumns count="15">
    <tableColumn id="1" xr3:uid="{D0D2885A-4D5E-4E46-B852-6808DA59D313}" name="Produk" totalsRowLabel="Total" dataDxfId="165"/>
    <tableColumn id="2" xr3:uid="{1CB01F6E-B1ED-D64D-B0BD-23E3E53023F6}" name="2019" totalsRowFunction="sum" dataDxfId="164" totalsRowDxfId="163" dataCellStyle="Comma">
      <calculatedColumnFormula>#REF!</calculatedColumnFormula>
    </tableColumn>
    <tableColumn id="3" xr3:uid="{DCB192C3-91DC-3E45-AEC4-E3D2C137A2D5}" name="2020" totalsRowFunction="sum" dataDxfId="162" totalsRowDxfId="161" dataCellStyle="Comma">
      <calculatedColumnFormula>#REF!</calculatedColumnFormula>
    </tableColumn>
    <tableColumn id="4" xr3:uid="{E6C180DE-2772-2441-93FB-B7588E5B6492}" name="2021" totalsRowFunction="sum" dataDxfId="160" totalsRowDxfId="159" dataCellStyle="Comma">
      <calculatedColumnFormula>#REF!</calculatedColumnFormula>
    </tableColumn>
    <tableColumn id="5" xr3:uid="{469CD3CF-6462-744C-8BAC-E6F03647D632}" name="2022" totalsRowFunction="sum" dataDxfId="158" totalsRowDxfId="157" dataCellStyle="Comma">
      <calculatedColumnFormula>#REF!</calculatedColumnFormula>
    </tableColumn>
    <tableColumn id="6" xr3:uid="{7F9C2994-4595-BC48-95E7-29BC35B73576}" name="2023" totalsRowFunction="sum" dataDxfId="156" dataCellStyle="Comma">
      <calculatedColumnFormula>#REF!</calculatedColumnFormula>
    </tableColumn>
    <tableColumn id="7" xr3:uid="{8B6255D9-4CA7-434B-A5E8-FBACB2C83FDD}" name="2024" dataDxfId="155" totalsRowDxfId="154" dataCellStyle="Comma">
      <calculatedColumnFormula>#REF!</calculatedColumnFormula>
    </tableColumn>
    <tableColumn id="8" xr3:uid="{F160CBDA-6556-D34B-AFEF-9A4DA3F946CA}" name="2025" dataDxfId="153" totalsRowDxfId="152" dataCellStyle="Comma">
      <calculatedColumnFormula>#REF!</calculatedColumnFormula>
    </tableColumn>
    <tableColumn id="9" xr3:uid="{79196D24-F3A6-5F45-ACB0-1B5911C1DAA0}" name="2026" dataDxfId="151" totalsRowDxfId="150" dataCellStyle="Comma">
      <calculatedColumnFormula>#REF!</calculatedColumnFormula>
    </tableColumn>
    <tableColumn id="10" xr3:uid="{3A202091-9A8A-F349-AFAC-D3575E626EFF}" name="2027" dataDxfId="149" totalsRowDxfId="148" dataCellStyle="Comma">
      <calculatedColumnFormula>#REF!</calculatedColumnFormula>
    </tableColumn>
    <tableColumn id="11" xr3:uid="{43710266-79F5-7448-ACB8-EA6AF60CF213}" name="2028" dataDxfId="147" totalsRowDxfId="146" dataCellStyle="Comma">
      <calculatedColumnFormula>#REF!</calculatedColumnFormula>
    </tableColumn>
    <tableColumn id="12" xr3:uid="{4D0F16A8-89B3-9941-B93B-FECD100FF689}" name="2029" dataDxfId="145" totalsRowDxfId="144" dataCellStyle="Comma">
      <calculatedColumnFormula>#REF!</calculatedColumnFormula>
    </tableColumn>
    <tableColumn id="13" xr3:uid="{6D5B7FE3-4080-6944-BA37-48AE65C1E6B7}" name="2030" dataDxfId="143" totalsRowDxfId="142" dataCellStyle="Comma">
      <calculatedColumnFormula>#REF!</calculatedColumnFormula>
    </tableColumn>
    <tableColumn id="14" xr3:uid="{53FC9BDF-6F34-4444-9FB2-388FA7A90D9D}" name="2031" dataDxfId="141" totalsRowDxfId="140" dataCellStyle="Comma">
      <calculatedColumnFormula>#REF!</calculatedColumnFormula>
    </tableColumn>
    <tableColumn id="15" xr3:uid="{761F26F3-7DA1-C04C-836A-10D25F8EBECB}" name="2032" dataDxfId="139" totalsRowDxfId="13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7" dataDxfId="136" totalsRowDxfId="135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4"/>
    <tableColumn id="2" xr3:uid="{BF9FD117-9D89-6545-A8DD-0203102DDDAC}" name="2019" totalsRowFunction="sum" dataDxfId="133" totalsRowDxfId="132" dataCellStyle="Comma">
      <calculatedColumnFormula>#REF!</calculatedColumnFormula>
    </tableColumn>
    <tableColumn id="3" xr3:uid="{2818C4A9-7E04-0B46-95F9-DE5A3B3080A5}" name="2020" totalsRowFunction="sum" dataDxfId="131" totalsRowDxfId="130" dataCellStyle="Comma">
      <calculatedColumnFormula>#REF!</calculatedColumnFormula>
    </tableColumn>
    <tableColumn id="4" xr3:uid="{CA0DEA62-D652-F241-9090-9124BB9D4F97}" name="2021" totalsRowFunction="sum" dataDxfId="129" totalsRowDxfId="128" dataCellStyle="Comma">
      <calculatedColumnFormula>#REF!</calculatedColumnFormula>
    </tableColumn>
    <tableColumn id="5" xr3:uid="{B4FF4845-3D08-7646-9D46-E1C192E017C8}" name="2022" totalsRowFunction="sum" dataDxfId="127" totalsRowDxfId="126" dataCellStyle="Comma">
      <calculatedColumnFormula>#REF!</calculatedColumnFormula>
    </tableColumn>
    <tableColumn id="6" xr3:uid="{F37F8168-78DB-294A-BE79-CEFAF8321122}" name="2023" totalsRowFunction="sum" dataDxfId="125" dataCellStyle="Comma">
      <calculatedColumnFormula>#REF!</calculatedColumnFormula>
    </tableColumn>
    <tableColumn id="7" xr3:uid="{313A481D-E690-5E40-9356-32C8A89361D8}" name="2024" dataDxfId="124" totalsRowDxfId="123" dataCellStyle="Comma">
      <calculatedColumnFormula>#REF!</calculatedColumnFormula>
    </tableColumn>
    <tableColumn id="8" xr3:uid="{BEDFD046-BF60-8547-8C20-D084BA6D3A8F}" name="2025" dataDxfId="122" totalsRowDxfId="121" dataCellStyle="Comma">
      <calculatedColumnFormula>#REF!</calculatedColumnFormula>
    </tableColumn>
    <tableColumn id="9" xr3:uid="{93344613-7617-C24D-8D5D-C6205EDB39C0}" name="2026" dataDxfId="120" totalsRowDxfId="119" dataCellStyle="Comma">
      <calculatedColumnFormula>#REF!</calculatedColumnFormula>
    </tableColumn>
    <tableColumn id="10" xr3:uid="{A1141682-AB8B-4045-93AA-7AF20DD95FCF}" name="2027" dataDxfId="118" totalsRowDxfId="117" dataCellStyle="Comma">
      <calculatedColumnFormula>#REF!</calculatedColumnFormula>
    </tableColumn>
    <tableColumn id="11" xr3:uid="{848922CD-D37A-784E-B406-FF7DB6A3FFD9}" name="2028" dataDxfId="116" totalsRowDxfId="115" dataCellStyle="Comma">
      <calculatedColumnFormula>#REF!</calculatedColumnFormula>
    </tableColumn>
    <tableColumn id="12" xr3:uid="{D6840AD2-CB80-424A-9FC0-F598D076488C}" name="2029" dataDxfId="114" totalsRowDxfId="113" dataCellStyle="Comma">
      <calculatedColumnFormula>#REF!</calculatedColumnFormula>
    </tableColumn>
    <tableColumn id="13" xr3:uid="{3FC5F7F1-EFBB-6B42-B020-BD479DDEF54C}" name="2030" dataDxfId="112" totalsRowDxfId="111" dataCellStyle="Comma">
      <calculatedColumnFormula>#REF!</calculatedColumnFormula>
    </tableColumn>
    <tableColumn id="14" xr3:uid="{59B3D745-E99A-C048-91B4-C30EE30FE030}" name="2031" dataDxfId="110" totalsRowDxfId="109" dataCellStyle="Comma">
      <calculatedColumnFormula>#REF!</calculatedColumnFormula>
    </tableColumn>
    <tableColumn id="15" xr3:uid="{E7C7A760-9A50-EF4E-9F9A-04F5939B53B3}" name="2032" dataDxfId="108" totalsRowDxfId="10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6" dataDxfId="105" totalsRowDxfId="104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3"/>
    <tableColumn id="2" xr3:uid="{0FE0173E-4A0A-C040-A5BF-13AFD6F74E10}" name="2019" totalsRowFunction="sum" dataDxfId="102" totalsRowDxfId="101" dataCellStyle="Comma"/>
    <tableColumn id="3" xr3:uid="{AA2A7934-1ED5-1841-9585-036B084CAE84}" name="2020" totalsRowFunction="sum" dataDxfId="100" totalsRowDxfId="99" dataCellStyle="Comma"/>
    <tableColumn id="4" xr3:uid="{513FEEBB-6A8F-574A-8F63-64E55E4DB319}" name="2021" totalsRowFunction="sum" dataDxfId="98" totalsRowDxfId="97" dataCellStyle="Comma"/>
    <tableColumn id="5" xr3:uid="{BED0975A-DF8E-C54C-B0E5-F85B60CA1335}" name="2022" totalsRowFunction="sum" dataDxfId="96" totalsRowDxfId="95" dataCellStyle="Comma"/>
    <tableColumn id="6" xr3:uid="{AB8F1B16-FC68-774A-B5DD-4EE17748FA9B}" name="2023" totalsRowFunction="sum" dataDxfId="94" totalsRowDxfId="93" dataCellStyle="Comma"/>
    <tableColumn id="7" xr3:uid="{D2F57DD7-6B8F-444D-A81B-D11878E66625}" name="2024" dataDxfId="92" totalsRowDxfId="91" dataCellStyle="Comma">
      <calculatedColumnFormula>Table36[[#This Row],[2023]]+(H2-G2)*100*$H$9</calculatedColumnFormula>
    </tableColumn>
    <tableColumn id="8" xr3:uid="{1F02D350-400D-8F4D-B198-B879C4D29351}" name="2025" dataDxfId="90" totalsRowDxfId="89" dataCellStyle="Comma">
      <calculatedColumnFormula>Table36[[#This Row],[2024]]+(I2-H2)*100*$H$9</calculatedColumnFormula>
    </tableColumn>
    <tableColumn id="9" xr3:uid="{7B59BB08-B683-F54E-8520-C0BE68887345}" name="2026" dataDxfId="88" totalsRowDxfId="87" dataCellStyle="Comma">
      <calculatedColumnFormula>Table36[[#This Row],[2025]]+(J2-I2)*100*$H$9</calculatedColumnFormula>
    </tableColumn>
    <tableColumn id="10" xr3:uid="{E67B878D-18EA-7548-9411-AA947352680D}" name="2027" dataDxfId="86" totalsRowDxfId="85" dataCellStyle="Comma">
      <calculatedColumnFormula>Table36[[#This Row],[2026]]+(K2-J2)*100*$H$9</calculatedColumnFormula>
    </tableColumn>
    <tableColumn id="11" xr3:uid="{909164A4-A24D-FC4A-85E7-81ADE8AE50D2}" name="2028" dataDxfId="84" totalsRowDxfId="83" dataCellStyle="Comma">
      <calculatedColumnFormula>Table36[[#This Row],[2027]]+(L2-K2)*100*$H$9</calculatedColumnFormula>
    </tableColumn>
    <tableColumn id="12" xr3:uid="{AA2289B0-A74F-F047-9745-BBDFD3F7D472}" name="2029" dataDxfId="82" totalsRowDxfId="81" dataCellStyle="Comma">
      <calculatedColumnFormula>Table36[[#This Row],[2028]]+(M2-L2)*100*$H$9</calculatedColumnFormula>
    </tableColumn>
    <tableColumn id="13" xr3:uid="{5A77795F-5802-6049-BD3D-E5F2DC4167E7}" name="2030" dataDxfId="80" totalsRowDxfId="79" dataCellStyle="Comma">
      <calculatedColumnFormula>Table36[[#This Row],[2029]]+(N2-M2)*100*$H$9</calculatedColumnFormula>
    </tableColumn>
    <tableColumn id="14" xr3:uid="{91BF1624-0775-4B4D-AEB5-F4CCE8DFB0BD}" name="2031" dataDxfId="78" totalsRowDxfId="77" dataCellStyle="Comma">
      <calculatedColumnFormula>Table36[[#This Row],[2030]]+(O2-N2)*100*$H$9</calculatedColumnFormula>
    </tableColumn>
    <tableColumn id="15" xr3:uid="{724851DA-4475-6F4C-B969-ADA0E125A99B}" name="2032" dataDxfId="76" totalsRowDxfId="75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4" dataDxfId="73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2">
      <calculatedColumnFormula array="1">Table36[2023]-Table36[2022]</calculatedColumnFormula>
    </tableColumn>
    <tableColumn id="2" xr3:uid="{A1A7ADBB-EEE7-B44F-8642-79DB0BA2C9B2}" name="1%" dataDxfId="71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70" dataDxfId="69" totalsRowDxfId="68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7" totalsRowDxfId="15"/>
    <tableColumn id="15" xr3:uid="{8E5BD366-1155-CE49-BBB4-3F27339B0B75}" name="2019" dataDxfId="66" totalsRowDxfId="14"/>
    <tableColumn id="14" xr3:uid="{FB0FC5E1-B965-6742-807F-7E3890DBDC3F}" name="2020" dataDxfId="65" totalsRowDxfId="13"/>
    <tableColumn id="13" xr3:uid="{794A7C86-2D33-554F-9012-765C40A5C94A}" name="2021" dataDxfId="64" totalsRowDxfId="12"/>
    <tableColumn id="2" xr3:uid="{72BB7C90-7123-8548-AD32-67D10EFB4941}" name="2022" totalsRowFunction="sum" dataDxfId="63" totalsRowDxfId="11" dataCellStyle="Comma"/>
    <tableColumn id="3" xr3:uid="{D1916A1A-7235-5944-952D-C5B2D3DDE06E}" name="2023" totalsRowFunction="sum" dataDxfId="62" totalsRowDxfId="10" dataCellStyle="Comma"/>
    <tableColumn id="4" xr3:uid="{DCCF41AD-21FF-E24A-BBC9-25283DF564ED}" name="2024" totalsRowFunction="sum" dataDxfId="61" totalsRowDxfId="9" dataCellStyle="Comma"/>
    <tableColumn id="5" xr3:uid="{2D2438E8-19A3-DC49-8708-643DF91EF6CA}" name="2025" totalsRowFunction="sum" dataDxfId="60" totalsRowDxfId="8" dataCellStyle="Comma"/>
    <tableColumn id="6" xr3:uid="{D2DA396E-5667-2944-A522-E55C0615C95B}" name="2026" totalsRowFunction="sum" dataDxfId="59" totalsRowDxfId="7" dataCellStyle="Comma"/>
    <tableColumn id="7" xr3:uid="{EDE1AE77-74CD-4C4A-AB30-33B40B187F4D}" name="2027" totalsRowFunction="custom" dataDxfId="58" totalsRowDxfId="6" dataCellStyle="Comma">
      <totalsRowFormula>Table3[[#Totals],[2026]]+K12</totalsRowFormula>
    </tableColumn>
    <tableColumn id="8" xr3:uid="{E3A4E7A4-9B95-9C45-AD94-5E313CD83314}" name="2028" totalsRowFunction="custom" dataDxfId="57" totalsRowDxfId="5" dataCellStyle="Comma">
      <totalsRowFormula>Table3[[#Totals],[2027]]+L12</totalsRowFormula>
    </tableColumn>
    <tableColumn id="9" xr3:uid="{5396A41B-238E-934A-B88C-05665FF32EAB}" name="2029" totalsRowFunction="custom" dataDxfId="56" totalsRowDxfId="4" dataCellStyle="Comma">
      <totalsRowFormula>Table3[[#Totals],[2028]]+M12</totalsRowFormula>
    </tableColumn>
    <tableColumn id="10" xr3:uid="{4B95DC7B-03C0-554B-8874-CA493F12F898}" name="2030" totalsRowFunction="custom" dataDxfId="55" totalsRowDxfId="3" dataCellStyle="Comma">
      <totalsRowFormula>Table3[[#Totals],[2029]]+N12</totalsRowFormula>
    </tableColumn>
    <tableColumn id="11" xr3:uid="{7AFBF0D8-EFCB-BD40-9797-A8DA640BE121}" name="2031" totalsRowFunction="custom" dataDxfId="54" totalsRowDxfId="2" dataCellStyle="Comma">
      <totalsRowFormula>Table3[[#Totals],[2030]]+O12</totalsRowFormula>
    </tableColumn>
    <tableColumn id="12" xr3:uid="{F50F8622-B86E-DE4B-8344-97514986A226}" name="2032" totalsRowFunction="custom" dataDxfId="53" totalsRowDxfId="1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52" dataDxfId="51" totalsRowDxfId="50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49" totalsRowDxfId="48"/>
    <tableColumn id="15" xr3:uid="{968DDC5B-E089-D843-A52D-7172723D8D2A}" name="2019" dataDxfId="47" totalsRowDxfId="46"/>
    <tableColumn id="14" xr3:uid="{78BB3794-9BF6-8D40-9094-953658171EEA}" name="2020" dataDxfId="45" totalsRowDxfId="44"/>
    <tableColumn id="13" xr3:uid="{A8272FC9-0AD5-BF4D-989E-3C102689BF68}" name="2021" dataDxfId="43" totalsRowDxfId="42"/>
    <tableColumn id="2" xr3:uid="{B4B4FEAA-CB59-9346-9F47-FF72671E2EE8}" name="2022" totalsRowFunction="sum" dataDxfId="41" totalsRowDxfId="40" dataCellStyle="Comma"/>
    <tableColumn id="3" xr3:uid="{231FA472-4B76-4041-8A73-8F9C4AEBBE8F}" name="2023" totalsRowFunction="sum" dataDxfId="39" totalsRowDxfId="38" dataCellStyle="Comma"/>
    <tableColumn id="4" xr3:uid="{2E117CD9-E0EC-D746-814E-EC6AAAC8290B}" name="2024" totalsRowFunction="custom" dataDxfId="37" totalsRowDxfId="36">
      <totalsRowFormula>Table4[[#Totals],[2023]]+(H2-G2)*100*$I$11</totalsRowFormula>
    </tableColumn>
    <tableColumn id="5" xr3:uid="{F927B8CF-7FCD-114C-9E2D-B44F29CFF80D}" name="2025" totalsRowFunction="custom" dataDxfId="35" totalsRowDxfId="34">
      <totalsRowFormula>Table4[[#Totals],[2024]]+(I2-H2)*100*$I$11</totalsRowFormula>
    </tableColumn>
    <tableColumn id="6" xr3:uid="{07104418-C75B-EE40-9CDC-49C0D474463F}" name="2026" totalsRowFunction="custom" dataDxfId="33" totalsRowDxfId="32">
      <totalsRowFormula>Table4[[#Totals],[2025]]+(J2-I2)*100*$I$11</totalsRowFormula>
    </tableColumn>
    <tableColumn id="7" xr3:uid="{DD42A9E1-1AC5-A249-A036-872FCF3A21BF}" name="2027" totalsRowFunction="custom" dataDxfId="31" totalsRowDxfId="30">
      <totalsRowFormula>Table4[[#Totals],[2026]]+(K2-J2)*100*$I$11</totalsRowFormula>
    </tableColumn>
    <tableColumn id="8" xr3:uid="{BB3B38F4-7B6D-4A4B-A663-5855598CB7D4}" name="2028" totalsRowFunction="custom" dataDxfId="29" totalsRowDxfId="28">
      <totalsRowFormula>Table4[[#Totals],[2027]]+(L2-K2)*100*$I$11</totalsRowFormula>
    </tableColumn>
    <tableColumn id="9" xr3:uid="{9F83B130-E9C9-904F-89DD-F5CF18D1A800}" name="2029" totalsRowFunction="custom" dataDxfId="27" totalsRowDxfId="26">
      <totalsRowFormula>Table4[[#Totals],[2028]]+(M2-L2)*100*$I$11</totalsRowFormula>
    </tableColumn>
    <tableColumn id="10" xr3:uid="{61DE65DA-614C-5D46-9E42-B760A7726F49}" name="2030" totalsRowFunction="custom" dataDxfId="25" totalsRowDxfId="24">
      <totalsRowFormula>Table4[[#Totals],[2029]]+(N2-M2)*100*$I$11</totalsRowFormula>
    </tableColumn>
    <tableColumn id="11" xr3:uid="{F9EEB720-D487-8B44-9A5E-608CDE69A8E5}" name="2031" totalsRowFunction="custom" dataDxfId="23" totalsRowDxfId="22">
      <totalsRowFormula>Table4[[#Totals],[2030]]+(O2-N2)*100*$I$11</totalsRowFormula>
    </tableColumn>
    <tableColumn id="12" xr3:uid="{BC9CD56F-EA9F-9B44-89E9-D5ADAD5581E1}" name="2032" totalsRowFunction="custom" dataDxfId="21" totalsRowDxfId="20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19" dataDxfId="18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7">
      <calculatedColumnFormula>Table4[[#Totals],[2023]]-Table4[[#Totals],[2022]]</calculatedColumnFormula>
    </tableColumn>
    <tableColumn id="2" xr3:uid="{BD08AFDC-A92D-1848-A18B-79184B6FFB70}" name="1%" dataDxfId="16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K17" sqref="K17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0.80648025591983208</v>
      </c>
      <c r="D3" s="20">
        <f>'TE Office'!D9</f>
        <v>0.84027360892539138</v>
      </c>
      <c r="E3" s="20">
        <f>'TE Office'!E9</f>
        <v>0.89843040357971071</v>
      </c>
      <c r="F3" s="20">
        <f>'TE Office'!F9</f>
        <v>0.89943787070972747</v>
      </c>
      <c r="G3" s="20">
        <f>'TE Office'!G9</f>
        <v>0.89947903213847469</v>
      </c>
      <c r="H3" s="20">
        <f>'TE Office'!H9</f>
        <v>0.92448668561480107</v>
      </c>
      <c r="I3" s="20">
        <f>'TE Office'!I9</f>
        <v>0.92220901797165855</v>
      </c>
      <c r="J3" s="20">
        <f>'TE Office'!J9</f>
        <v>0.92220901797165855</v>
      </c>
      <c r="K3" s="20">
        <f>'TE Office'!K9</f>
        <v>0.92220901797165855</v>
      </c>
      <c r="L3" s="20">
        <f>'TE Office'!L9</f>
        <v>0.92220901797165855</v>
      </c>
      <c r="M3" s="20">
        <f>'TE Office'!M9</f>
        <v>0.92220901797165855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257601884350.43256</v>
      </c>
      <c r="E13" s="8">
        <f>'TE Office'!E7</f>
        <v>276123610963.60236</v>
      </c>
      <c r="F13" s="8">
        <f>'TE Office'!F7</f>
        <v>276479683539.30579</v>
      </c>
      <c r="G13" s="8">
        <f>'TE Office'!G7</f>
        <v>275719836739.30579</v>
      </c>
      <c r="H13" s="8">
        <f>'TE Office'!H7</f>
        <v>285149141506.41614</v>
      </c>
      <c r="I13" s="8">
        <f>'TE Office'!I7</f>
        <v>284722672448.04254</v>
      </c>
      <c r="J13" s="8">
        <f>'TE Office'!J7</f>
        <v>284722672448.04254</v>
      </c>
      <c r="K13" s="8">
        <f>'TE Office'!K7</f>
        <v>285916794947.69824</v>
      </c>
      <c r="L13" s="8">
        <f>'TE Office'!L7</f>
        <v>286314835780.91675</v>
      </c>
      <c r="M13" s="8">
        <f>'TE Office'!M7</f>
        <v>286314835780.91675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19488442332.488911</v>
      </c>
      <c r="F15" s="8" cm="1">
        <f t="array" ref="F15">Table36[2025]</f>
        <v>19541950158.087807</v>
      </c>
      <c r="G15" s="8" cm="1">
        <f t="array" ref="G15">Table36[2026]</f>
        <v>19544136292.488808</v>
      </c>
      <c r="H15" s="8" cm="1">
        <f t="array" ref="H15">Table36[2027]</f>
        <v>20872323705.240086</v>
      </c>
      <c r="I15" s="8" cm="1">
        <f t="array" ref="I15">Table36[2028]</f>
        <v>20751353959.041523</v>
      </c>
      <c r="J15" s="8" cm="1">
        <f t="array" ref="J15">Table36[2029]</f>
        <v>20751353959.041523</v>
      </c>
      <c r="K15" s="8" cm="1">
        <f t="array" ref="K15">Table36[2030]</f>
        <v>20751353959.041523</v>
      </c>
      <c r="L15" s="8" cm="1">
        <f t="array" ref="L15">Table36[2031]</f>
        <v>20751353959.041523</v>
      </c>
      <c r="M15" s="8" cm="1">
        <f t="array" ref="M15">Table36[2032]</f>
        <v>20751353959.041523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9491677710.0826931</v>
      </c>
      <c r="F17" s="8">
        <f>Table4[[#Totals],[2025]]</f>
        <v>9532610410.4248867</v>
      </c>
      <c r="G17" s="8">
        <f>Table4[[#Totals],[2026]]</f>
        <v>9534282771.1187172</v>
      </c>
      <c r="H17" s="8">
        <f>Table4[[#Totals],[2027]]</f>
        <v>10550326625.562725</v>
      </c>
      <c r="I17" s="8">
        <f>Table4[[#Totals],[2028]]</f>
        <v>10457786547.243435</v>
      </c>
      <c r="J17" s="8">
        <f>Table4[[#Totals],[2029]]</f>
        <v>10457786547.243435</v>
      </c>
      <c r="K17" s="8">
        <f>Table4[[#Totals],[2030]]</f>
        <v>10457786547.243435</v>
      </c>
      <c r="L17" s="8">
        <f>Table4[[#Totals],[2031]]</f>
        <v>10457786547.243435</v>
      </c>
      <c r="M17" s="8">
        <f>Table4[[#Totals],[2032]]</f>
        <v>10457786547.243435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318400736080.66931</v>
      </c>
      <c r="D23" s="9">
        <f>SUBTOTAL(109,Table2[2023])</f>
        <v>333537651678.32971</v>
      </c>
      <c r="E23" s="9">
        <f>SUBTOTAL(109,Table2[2024])</f>
        <v>359479028385.64252</v>
      </c>
      <c r="F23" s="9">
        <f>SUBTOTAL(109,Table2[2025])</f>
        <v>362952311488.48706</v>
      </c>
      <c r="G23" s="9">
        <f>SUBTOTAL(109,Table2[2026])</f>
        <v>365108783183.58191</v>
      </c>
      <c r="H23" s="9">
        <f>SUBTOTAL(109,Table2[2027])</f>
        <v>378482319217.88757</v>
      </c>
      <c r="I23" s="9">
        <f>SUBTOTAL(109,Table2[2028])</f>
        <v>379942340334.99603</v>
      </c>
      <c r="J23" s="9">
        <f>SUBTOTAL(109,Table2[2029])</f>
        <v>381042340334.99603</v>
      </c>
      <c r="K23" s="9">
        <f>SUBTOTAL(109,Table2[2030])</f>
        <v>383336462834.65173</v>
      </c>
      <c r="L23" s="9">
        <f>SUBTOTAL(109,Table2[2031])</f>
        <v>384334503667.87024</v>
      </c>
      <c r="M23" s="9">
        <f>SUBTOTAL(109,Table2[2032])</f>
        <v>384934503667.87024</v>
      </c>
      <c r="N23" s="24"/>
    </row>
    <row r="24" spans="2:14" ht="20" customHeight="1" x14ac:dyDescent="0.2">
      <c r="D24" s="8">
        <f>Table2[[#Totals],[2023]]/14750</f>
        <v>22612722.147683371</v>
      </c>
      <c r="E24" s="8">
        <f>Table2[[#Totals],[2024]]/14750</f>
        <v>24371459.551568985</v>
      </c>
      <c r="F24" s="8">
        <f>Table2[[#Totals],[2025]]/14750</f>
        <v>24606936.372100819</v>
      </c>
      <c r="G24" s="8">
        <f>Table2[[#Totals],[2026]]/14750</f>
        <v>24753137.842954706</v>
      </c>
      <c r="H24" s="8">
        <f>Table2[[#Totals],[2027]]/14750</f>
        <v>25659818.252060175</v>
      </c>
      <c r="I24" s="8">
        <f>Table2[[#Totals],[2028]]/14750</f>
        <v>25758802.734576002</v>
      </c>
      <c r="J24" s="8">
        <f>Table2[[#Totals],[2029]]/14750</f>
        <v>25833379.005762443</v>
      </c>
      <c r="K24" s="8">
        <f>Table2[[#Totals],[2030]]/14750</f>
        <v>25988912.734552659</v>
      </c>
      <c r="L24" s="8">
        <f>Table2[[#Totals],[2031]]/14750</f>
        <v>26056576.519855611</v>
      </c>
      <c r="M24" s="8">
        <f>Table2[[#Totals],[2032]]/14750</f>
        <v>26097254.485957306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16399663023.428572</v>
      </c>
      <c r="E30" s="8" cm="1">
        <f t="array" ref="E30">Table36[2024]</f>
        <v>19488442332.488911</v>
      </c>
      <c r="F30" s="8" cm="1">
        <f t="array" ref="F30">Table36[2025]</f>
        <v>19541950158.087807</v>
      </c>
      <c r="G30" s="8" cm="1">
        <f t="array" ref="G30">Table36[2026]</f>
        <v>19544136292.488808</v>
      </c>
      <c r="H30" s="8" cm="1">
        <f t="array" ref="H30">Table36[2027]</f>
        <v>20872323705.240086</v>
      </c>
      <c r="I30" s="8" cm="1">
        <f t="array" ref="I30">Table36[2028]</f>
        <v>20751353959.041523</v>
      </c>
      <c r="J30" s="8" cm="1">
        <f t="array" ref="J30">Table36[2029]</f>
        <v>20751353959.041523</v>
      </c>
      <c r="K30" s="8" cm="1">
        <f t="array" ref="K30">Table36[2030]</f>
        <v>20751353959.041523</v>
      </c>
      <c r="L30" s="8" cm="1">
        <f t="array" ref="L30">Table36[2031]</f>
        <v>20751353959.041523</v>
      </c>
      <c r="M30" s="8" cm="1">
        <f t="array" ref="M30">Table36[2032]</f>
        <v>20751353959.041523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9491677710.0826931</v>
      </c>
      <c r="F32" s="8">
        <f>Table4[[#Totals],[2025]]</f>
        <v>9532610410.4248867</v>
      </c>
      <c r="G32" s="8">
        <f>Table4[[#Totals],[2026]]</f>
        <v>9534282771.1187172</v>
      </c>
      <c r="H32" s="8">
        <f>Table4[[#Totals],[2027]]</f>
        <v>10550326625.562725</v>
      </c>
      <c r="I32" s="8">
        <f>Table4[[#Totals],[2028]]</f>
        <v>10457786547.243435</v>
      </c>
      <c r="J32" s="8">
        <f>Table4[[#Totals],[2029]]</f>
        <v>10457786547.243435</v>
      </c>
      <c r="K32" s="8">
        <f>Table4[[#Totals],[2030]]</f>
        <v>10457786547.243435</v>
      </c>
      <c r="L32" s="8">
        <f>Table4[[#Totals],[2031]]</f>
        <v>10457786547.243435</v>
      </c>
      <c r="M32" s="8">
        <f>Table4[[#Totals],[2032]]</f>
        <v>10457786547.243435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323660894070.00977</v>
      </c>
      <c r="E38" s="9">
        <f>SUBTOTAL(109,Table211[2024])</f>
        <v>347333144031.66998</v>
      </c>
      <c r="F38" s="9">
        <f>SUBTOTAL(109,Table211[2025])</f>
        <v>349746289422.0296</v>
      </c>
      <c r="G38" s="9">
        <f>SUBTOTAL(109,Table211[2026])</f>
        <v>350484359077.12445</v>
      </c>
      <c r="H38" s="9">
        <f>SUBTOTAL(109,Table211[2027])</f>
        <v>349711461383.9754</v>
      </c>
      <c r="I38" s="9">
        <f>SUBTOTAL(109,Table211[2028])</f>
        <v>351150099532.67609</v>
      </c>
      <c r="J38" s="9">
        <f>SUBTOTAL(109,Table211[2029])</f>
        <v>352250099532.67609</v>
      </c>
      <c r="K38" s="9">
        <f>SUBTOTAL(109,Table211[2030])</f>
        <v>354342806082.33173</v>
      </c>
      <c r="L38" s="9">
        <f>SUBTOTAL(109,Table211[2031])</f>
        <v>355273708265.55023</v>
      </c>
      <c r="M38" s="9">
        <f>SUBTOTAL(109,Table211[2032])</f>
        <v>355873708265.55023</v>
      </c>
      <c r="N38" s="24"/>
    </row>
    <row r="39" spans="2:14" x14ac:dyDescent="0.2">
      <c r="D39" s="8">
        <f>Table211[[#Totals],[2023]]/14750</f>
        <v>21943111.462373544</v>
      </c>
      <c r="E39" s="8">
        <f>Table211[[#Totals],[2024]]/14750</f>
        <v>23548009.764858983</v>
      </c>
      <c r="F39" s="8">
        <f>Table211[[#Totals],[2025]]/14750</f>
        <v>23711612.842171498</v>
      </c>
      <c r="G39" s="8">
        <f>Table211[[#Totals],[2026]]/14750</f>
        <v>23761651.462855894</v>
      </c>
      <c r="H39" s="8">
        <f>Table211[[#Totals],[2027]]/14750</f>
        <v>23709251.61925257</v>
      </c>
      <c r="I39" s="8">
        <f>Table211[[#Totals],[2028]]/14750</f>
        <v>23806786.408994988</v>
      </c>
      <c r="J39" s="8">
        <f>Table211[[#Totals],[2029]]/14750</f>
        <v>23881362.680181429</v>
      </c>
      <c r="K39" s="8">
        <f>Table211[[#Totals],[2030]]/14750</f>
        <v>24023241.090327576</v>
      </c>
      <c r="L39" s="8">
        <f>Table211[[#Totals],[2031]]/14750</f>
        <v>24086353.102749169</v>
      </c>
      <c r="M39" s="8">
        <f>Table211[[#Totals],[2032]]/14750</f>
        <v>24127031.068850864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zoomScale="159" zoomScaleNormal="100" workbookViewId="0">
      <selection activeCell="I7" sqref="I7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226133977884.88779</v>
      </c>
      <c r="F5" s="33">
        <v>226054942964.88779</v>
      </c>
      <c r="G5" s="33">
        <v>225292846164.88779</v>
      </c>
      <c r="H5" s="33">
        <v>232154544244.88779</v>
      </c>
      <c r="I5" s="33">
        <v>231460133289.84375</v>
      </c>
      <c r="J5" s="33">
        <v>231460133289.84375</v>
      </c>
      <c r="K5" s="33">
        <v>231460133289.84375</v>
      </c>
      <c r="L5" s="33">
        <v>231460133289.84375</v>
      </c>
      <c r="M5" s="33">
        <v>231460133289.84375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49989633078.714592</v>
      </c>
      <c r="F6" s="33">
        <v>50424740574.41803</v>
      </c>
      <c r="G6" s="33">
        <v>50426990574.41803</v>
      </c>
      <c r="H6" s="33">
        <v>52994597261.528358</v>
      </c>
      <c r="I6" s="33">
        <v>53262539158.198814</v>
      </c>
      <c r="J6" s="33">
        <v>53262539158.198814</v>
      </c>
      <c r="K6" s="33">
        <v>54456661657.854462</v>
      </c>
      <c r="L6" s="33">
        <v>54854702491.073013</v>
      </c>
      <c r="M6" s="33">
        <v>54854702491.073013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276123610963.60236</v>
      </c>
      <c r="F7" s="35">
        <v>276479683539.30579</v>
      </c>
      <c r="G7" s="35">
        <v>275719836739.30579</v>
      </c>
      <c r="H7" s="35">
        <v>285149141506.41614</v>
      </c>
      <c r="I7" s="35">
        <v>284722672448.04254</v>
      </c>
      <c r="J7" s="35">
        <v>284722672448.04254</v>
      </c>
      <c r="K7" s="35">
        <v>285916794947.69824</v>
      </c>
      <c r="L7" s="35">
        <v>286314835780.91675</v>
      </c>
      <c r="M7" s="35">
        <v>286314835780.91675</v>
      </c>
      <c r="N7" s="40"/>
    </row>
    <row r="8" spans="2:14" ht="21" customHeight="1" x14ac:dyDescent="0.2">
      <c r="B8" s="29" t="s">
        <v>67</v>
      </c>
      <c r="C8" s="32">
        <v>48982.76617610659</v>
      </c>
      <c r="D8" s="33">
        <v>51035.255243789958</v>
      </c>
      <c r="E8" s="33">
        <v>54567.49382395867</v>
      </c>
      <c r="F8" s="33">
        <v>54628.683823958658</v>
      </c>
      <c r="G8" s="33">
        <v>54631.183823958658</v>
      </c>
      <c r="H8" s="33">
        <v>56150.060490625328</v>
      </c>
      <c r="I8" s="33">
        <v>56011.72299163264</v>
      </c>
      <c r="J8" s="33">
        <v>56011.72299163264</v>
      </c>
      <c r="K8" s="33">
        <v>56011.72299163264</v>
      </c>
      <c r="L8" s="33">
        <v>56011.72299163264</v>
      </c>
      <c r="M8" s="33">
        <v>56011.72299163264</v>
      </c>
      <c r="N8" s="39"/>
    </row>
    <row r="9" spans="2:14" ht="21" customHeight="1" thickBot="1" x14ac:dyDescent="0.25">
      <c r="B9" s="29" t="s">
        <v>68</v>
      </c>
      <c r="C9" s="36">
        <v>0.80648025591983208</v>
      </c>
      <c r="D9" s="37">
        <v>0.84027360892539138</v>
      </c>
      <c r="E9" s="37">
        <v>0.89843040357971071</v>
      </c>
      <c r="F9" s="37">
        <v>0.89943787070972747</v>
      </c>
      <c r="G9" s="37">
        <v>0.89947903213847469</v>
      </c>
      <c r="H9" s="37">
        <v>0.92448668561480107</v>
      </c>
      <c r="I9" s="37">
        <v>0.92220901797165855</v>
      </c>
      <c r="J9" s="37">
        <v>0.92220901797165855</v>
      </c>
      <c r="K9" s="37">
        <v>0.92220901797165855</v>
      </c>
      <c r="L9" s="37">
        <v>0.92220901797165855</v>
      </c>
      <c r="M9" s="37">
        <v>0.92220901797165855</v>
      </c>
      <c r="N9" s="41"/>
    </row>
    <row r="10" spans="2:14" ht="21" customHeight="1" x14ac:dyDescent="0.2">
      <c r="C10" s="111">
        <v>248951980320.72696</v>
      </c>
      <c r="D10" s="111">
        <v>257601884350.43256</v>
      </c>
      <c r="E10" s="111">
        <v>277388735203.60236</v>
      </c>
      <c r="F10" s="111">
        <v>278166515859.30579</v>
      </c>
      <c r="G10" s="111">
        <v>277485942859.30579</v>
      </c>
      <c r="H10" s="111">
        <v>287397013826.41614</v>
      </c>
      <c r="I10" s="111">
        <v>287010941468.04254</v>
      </c>
      <c r="J10" s="111">
        <v>287010941468.04254</v>
      </c>
      <c r="K10" s="111">
        <v>288218875367.69824</v>
      </c>
      <c r="L10" s="111">
        <v>288621520000.91675</v>
      </c>
      <c r="M10" s="111">
        <v>288621520000.91675</v>
      </c>
    </row>
    <row r="11" spans="2:14" ht="21" customHeight="1" x14ac:dyDescent="0.2"/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9"/>
  <sheetViews>
    <sheetView showGridLines="0" zoomScaleNormal="100" workbookViewId="0">
      <selection activeCell="C7" sqref="C7:M7"/>
    </sheetView>
  </sheetViews>
  <sheetFormatPr baseColWidth="10" defaultRowHeight="16" x14ac:dyDescent="0.2"/>
  <cols>
    <col min="1" max="1" width="10.83203125" style="1"/>
    <col min="2" max="2" width="10.83203125" style="29"/>
    <col min="3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tabSelected="1" zoomScale="200" zoomScaleNormal="100" workbookViewId="0">
      <selection activeCell="C4" sqref="C4:E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>$C$17</f>
        <v>9017344357.2000008</v>
      </c>
      <c r="H4" s="8">
        <f>$C$17</f>
        <v>9017344357.2000008</v>
      </c>
      <c r="I4" s="8">
        <f>$C$17</f>
        <v>9017344357.2000008</v>
      </c>
      <c r="J4" s="8">
        <f>$C$17</f>
        <v>9017344357.2000008</v>
      </c>
      <c r="K4" s="8">
        <f>$C$17</f>
        <v>9017344357.2000008</v>
      </c>
      <c r="L4" s="8">
        <f>$C$17</f>
        <v>9017344357.2000008</v>
      </c>
      <c r="M4" s="8">
        <f>$C$17</f>
        <v>9017344357.2000008</v>
      </c>
      <c r="N4" s="8">
        <f>$C$17</f>
        <v>9017344357.2000008</v>
      </c>
      <c r="O4" s="8">
        <f>$C$17</f>
        <v>9017344357.2000008</v>
      </c>
      <c r="P4" s="8">
        <f>$C$17</f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74" zoomScaleNormal="100" workbookViewId="0">
      <selection activeCell="P4" sqref="P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5:G5 E4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topLeftCell="B1" zoomScale="193" zoomScaleNormal="100" workbookViewId="0">
      <selection activeCell="L50" sqref="L50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0.80648025591983208</v>
      </c>
      <c r="G2" s="62">
        <f>Summary!$D$3</f>
        <v>0.84027360892539138</v>
      </c>
      <c r="H2" s="63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5" t="s">
        <v>22</v>
      </c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v>16399663023.428572</v>
      </c>
      <c r="H4" s="67">
        <f>Table36[[#This Row],[2023]]+(H2-G2)*100*$H$9</f>
        <v>19488442332.488911</v>
      </c>
      <c r="I4" s="67">
        <f>Table36[[#This Row],[2024]]+(I2-H2)*100*$H$9</f>
        <v>19541950158.087807</v>
      </c>
      <c r="J4" s="67">
        <f>Table36[[#This Row],[2025]]+(J2-I2)*100*$H$9</f>
        <v>19544136292.488808</v>
      </c>
      <c r="K4" s="67">
        <f>Table36[[#This Row],[2026]]+(K2-J2)*100*$H$9</f>
        <v>20872323705.240086</v>
      </c>
      <c r="L4" s="67">
        <f>Table36[[#This Row],[2027]]+(L2-K2)*100*$H$9</f>
        <v>20751353959.041523</v>
      </c>
      <c r="M4" s="67">
        <f>Table36[[#This Row],[2028]]+(M2-L2)*100*$H$9</f>
        <v>20751353959.041523</v>
      </c>
      <c r="N4" s="67">
        <f>Table36[[#This Row],[2029]]+(N2-M2)*100*$H$9</f>
        <v>20751353959.041523</v>
      </c>
      <c r="O4" s="67">
        <f>Table36[[#This Row],[2030]]+(O2-N2)*100*$H$9</f>
        <v>20751353959.041523</v>
      </c>
      <c r="P4" s="67">
        <f>Table36[[#This Row],[2031]]+(P2-O2)*100*$H$9</f>
        <v>20751353959.041523</v>
      </c>
      <c r="Q4" s="79"/>
      <c r="W4" s="45"/>
      <c r="X4" s="107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09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0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1248114071.5262394</v>
      </c>
      <c r="H9" s="76">
        <f>G9/(G8*100)</f>
        <v>531112370.86222953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5" t="s">
        <v>41</v>
      </c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45"/>
    </row>
    <row r="14" spans="2:38" x14ac:dyDescent="0.2">
      <c r="F14" s="77" t="s">
        <v>73</v>
      </c>
      <c r="G14" s="78" t="s">
        <v>74</v>
      </c>
      <c r="W14" s="45"/>
      <c r="X14" s="107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45"/>
    </row>
    <row r="15" spans="2:38" x14ac:dyDescent="0.2">
      <c r="W15" s="45"/>
      <c r="X15" s="109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1" t="s">
        <v>42</v>
      </c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56"/>
    </row>
    <row r="24" spans="23:38" ht="15" customHeight="1" x14ac:dyDescent="0.2">
      <c r="X24" s="103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56"/>
    </row>
    <row r="25" spans="23:38" ht="20.25" customHeight="1" x14ac:dyDescent="0.2">
      <c r="X25" s="99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0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1" t="s">
        <v>43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56"/>
    </row>
    <row r="34" spans="24:38" ht="15" customHeight="1" x14ac:dyDescent="0.2">
      <c r="X34" s="103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56"/>
    </row>
    <row r="35" spans="24:38" ht="20.25" customHeight="1" x14ac:dyDescent="0.2">
      <c r="X35" s="99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0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H12" sqref="H12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0.80648025591983208</v>
      </c>
      <c r="G2" s="43">
        <f>Summary!$D$3</f>
        <v>0.84027360892539138</v>
      </c>
      <c r="H2" s="62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9491677710.0826931</v>
      </c>
      <c r="I8" s="82">
        <f>Table4[[#Totals],[2024]]+(I2-H2)*100*$I$11</f>
        <v>9532610410.4248867</v>
      </c>
      <c r="J8" s="82">
        <f>Table4[[#Totals],[2025]]+(J2-I2)*100*$I$11</f>
        <v>9534282771.1187172</v>
      </c>
      <c r="K8" s="82">
        <f>Table4[[#Totals],[2026]]+(K2-J2)*100*$I$11</f>
        <v>10550326625.562725</v>
      </c>
      <c r="L8" s="82">
        <f>Table4[[#Totals],[2027]]+(L2-K2)*100*$I$11</f>
        <v>10457786547.243435</v>
      </c>
      <c r="M8" s="82">
        <f>Table4[[#Totals],[2028]]+(M2-L2)*100*$I$11</f>
        <v>10457786547.243435</v>
      </c>
      <c r="N8" s="82">
        <f>Table4[[#Totals],[2029]]+(N2-M2)*100*$I$11</f>
        <v>10457786547.243435</v>
      </c>
      <c r="O8" s="82">
        <f>Table4[[#Totals],[2030]]+(O2-N2)*100*$I$11</f>
        <v>10457786547.243435</v>
      </c>
      <c r="P8" s="82">
        <f>Table4[[#Totals],[2031]]+(P2-O2)*100*$I$11</f>
        <v>10457786547.243435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2022-10-03T09:17:36Z</dcterms:modified>
</cp:coreProperties>
</file>