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0" documentId="8_{63EB4802-57AD-0F44-B5C6-2C4816D8263D}" xr6:coauthVersionLast="47" xr6:coauthVersionMax="47" xr10:uidLastSave="{00000000-0000-0000-0000-000000000000}"/>
  <bookViews>
    <workbookView xWindow="-19620" yWindow="-41700" windowWidth="45200" windowHeight="39460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6" l="1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H9" i="2"/>
  <c r="G9" i="2" a="1"/>
  <c r="G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5" i="1" a="1"/>
  <c r="H15" i="1" s="1"/>
  <c r="L8" i="4"/>
  <c r="I32" i="1" s="1"/>
  <c r="H17" i="1"/>
  <c r="L4" i="2" l="1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7" i="1"/>
  <c r="M32" i="1"/>
  <c r="M15" i="1" a="1"/>
  <c r="M15" i="1" s="1"/>
  <c r="M30" i="1" a="1"/>
  <c r="M30" i="1" s="1"/>
  <c r="G4" i="9"/>
  <c r="H4" i="9" l="1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<sst xmlns="http://schemas.openxmlformats.org/spreadsheetml/2006/main" count="383" uniqueCount="116">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</sst>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318400736080.66931</c:v>
                </c:pt>
                <c:pt idx="1">
                  <c:v>333537651678.32971</c:v>
                </c:pt>
                <c:pt idx="2">
                  <c:v>359479028385.64252</c:v>
                </c:pt>
                <c:pt idx="3">
                  <c:v>362952311488.48706</c:v>
                </c:pt>
                <c:pt idx="4">
                  <c:v>365108783183.58191</c:v>
                </c:pt>
                <c:pt idx="5">
                  <c:v>378482319217.88757</c:v>
                </c:pt>
                <c:pt idx="6">
                  <c:v>379942340334.99603</c:v>
                </c:pt>
                <c:pt idx="7">
                  <c:v>381042340334.99603</c:v>
                </c:pt>
                <c:pt idx="8">
                  <c:v>383336462834.65173</c:v>
                </c:pt>
                <c:pt idx="9">
                  <c:v>384334503667.87024</c:v>
                </c:pt>
                <c:pt idx="10">
                  <c:v>384934503667.87024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323660894070.00977</c:v>
                </c:pt>
                <c:pt idx="2">
                  <c:v>347333144031.66998</c:v>
                </c:pt>
                <c:pt idx="3">
                  <c:v>349746289422.0296</c:v>
                </c:pt>
                <c:pt idx="4">
                  <c:v>350484359077.12445</c:v>
                </c:pt>
                <c:pt idx="5">
                  <c:v>349711461383.9754</c:v>
                </c:pt>
                <c:pt idx="6">
                  <c:v>351150099532.67609</c:v>
                </c:pt>
                <c:pt idx="7">
                  <c:v>352250099532.67609</c:v>
                </c:pt>
                <c:pt idx="8">
                  <c:v>354342806082.33173</c:v>
                </c:pt>
                <c:pt idx="9">
                  <c:v>355273708265.55023</c:v>
                </c:pt>
                <c:pt idx="10">
                  <c:v>355873708265.55023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0.80648025591983208</c:v>
                </c:pt>
                <c:pt idx="1">
                  <c:v>0.84027360892539138</c:v>
                </c:pt>
                <c:pt idx="2">
                  <c:v>0.89843040357971071</c:v>
                </c:pt>
                <c:pt idx="3">
                  <c:v>0.89943787070972747</c:v>
                </c:pt>
                <c:pt idx="4">
                  <c:v>0.89947903213847469</c:v>
                </c:pt>
                <c:pt idx="5">
                  <c:v>0.92448668561480107</c:v>
                </c:pt>
                <c:pt idx="6">
                  <c:v>0.92220901797165855</c:v>
                </c:pt>
                <c:pt idx="7">
                  <c:v>0.92220901797165855</c:v>
                </c:pt>
                <c:pt idx="8">
                  <c:v>0.92220901797165855</c:v>
                </c:pt>
                <c:pt idx="9">
                  <c:v>0.92220901797165855</c:v>
                </c:pt>
                <c:pt idx="10">
                  <c:v>0.92220901797165855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 Old'!$C$9:$M$9</c:f>
              <c:numCache>
                <c:formatCode>0.00%</c:formatCode>
                <c:ptCount val="11"/>
                <c:pt idx="0">
                  <c:v>0.80649672049133092</c:v>
                </c:pt>
                <c:pt idx="1">
                  <c:v>0.84029007349689022</c:v>
                </c:pt>
                <c:pt idx="2">
                  <c:v>0.90223684786453839</c:v>
                </c:pt>
                <c:pt idx="3">
                  <c:v>0.90450764156566521</c:v>
                </c:pt>
                <c:pt idx="4">
                  <c:v>0.90454880299441243</c:v>
                </c:pt>
                <c:pt idx="5">
                  <c:v>0.92955645647073892</c:v>
                </c:pt>
                <c:pt idx="6">
                  <c:v>0.92727878882759629</c:v>
                </c:pt>
                <c:pt idx="7">
                  <c:v>0.92727878882759629</c:v>
                </c:pt>
                <c:pt idx="8">
                  <c:v>0.92727878882759629</c:v>
                </c:pt>
                <c:pt idx="9">
                  <c:v>0.92727878882759629</c:v>
                </c:pt>
                <c:pt idx="10">
                  <c:v>0.92727878882759629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257601884350.43256</c:v>
                </c:pt>
                <c:pt idx="2">
                  <c:v>276123610963.60236</c:v>
                </c:pt>
                <c:pt idx="3">
                  <c:v>276479683539.30579</c:v>
                </c:pt>
                <c:pt idx="4">
                  <c:v>275719836739.30579</c:v>
                </c:pt>
                <c:pt idx="5">
                  <c:v>285149141506.41614</c:v>
                </c:pt>
                <c:pt idx="6">
                  <c:v>284722672448.04254</c:v>
                </c:pt>
                <c:pt idx="7">
                  <c:v>284722672448.04254</c:v>
                </c:pt>
                <c:pt idx="8">
                  <c:v>285916794947.69824</c:v>
                </c:pt>
                <c:pt idx="9">
                  <c:v>286314835780.91675</c:v>
                </c:pt>
                <c:pt idx="10">
                  <c:v>286314835780.91675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/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tabSelected="1" zoomScale="141" zoomScaleNormal="80" workbookViewId="0">
      <selection activeCell="A9" sqref="A9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0.80648025591983208</v>
      </c>
      <c r="D3" s="20">
        <f>'TE Office'!D9</f>
        <v>0.84027360892539138</v>
      </c>
      <c r="E3" s="20">
        <f>'TE Office'!E9</f>
        <v>0.89843040357971071</v>
      </c>
      <c r="F3" s="20">
        <f>'TE Office'!F9</f>
        <v>0.89943787070972747</v>
      </c>
      <c r="G3" s="20">
        <f>'TE Office'!G9</f>
        <v>0.89947903213847469</v>
      </c>
      <c r="H3" s="20">
        <f>'TE Office'!H9</f>
        <v>0.92448668561480107</v>
      </c>
      <c r="I3" s="20">
        <f>'TE Office'!I9</f>
        <v>0.92220901797165855</v>
      </c>
      <c r="J3" s="20">
        <f>'TE Office'!J9</f>
        <v>0.92220901797165855</v>
      </c>
      <c r="K3" s="20">
        <f>'TE Office'!K9</f>
        <v>0.92220901797165855</v>
      </c>
      <c r="L3" s="20">
        <f>'TE Office'!L9</f>
        <v>0.92220901797165855</v>
      </c>
      <c r="M3" s="20">
        <f>'TE Office'!M9</f>
        <v>0.92220901797165855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257601884350.43256</v>
      </c>
      <c r="E13" s="8">
        <f>'TE Office'!E7</f>
        <v>276123610963.60236</v>
      </c>
      <c r="F13" s="8">
        <f>'TE Office'!F7</f>
        <v>276479683539.30579</v>
      </c>
      <c r="G13" s="8">
        <f>'TE Office'!G7</f>
        <v>275719836739.30579</v>
      </c>
      <c r="H13" s="8">
        <f>'TE Office'!H7</f>
        <v>285149141506.41614</v>
      </c>
      <c r="I13" s="8">
        <f>'TE Office'!I7</f>
        <v>284722672448.04254</v>
      </c>
      <c r="J13" s="8">
        <f>'TE Office'!J7</f>
        <v>284722672448.04254</v>
      </c>
      <c r="K13" s="8">
        <f>'TE Office'!K7</f>
        <v>285916794947.69824</v>
      </c>
      <c r="L13" s="8">
        <f>'TE Office'!L7</f>
        <v>286314835780.91675</v>
      </c>
      <c r="M13" s="8">
        <f>'TE Office'!M7</f>
        <v>286314835780.91675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16399663023.428572</v>
      </c>
      <c r="E15" s="8" cm="1">
        <f t="array" ref="E15">Table36[2024]</f>
        <v>19488442332.488911</v>
      </c>
      <c r="F15" s="8" cm="1">
        <f t="array" ref="F15">Table36[2025]</f>
        <v>19541950158.087807</v>
      </c>
      <c r="G15" s="8" cm="1">
        <f t="array" ref="G15">Table36[2026]</f>
        <v>19544136292.488808</v>
      </c>
      <c r="H15" s="8" cm="1">
        <f t="array" ref="H15">Table36[2027]</f>
        <v>20872323705.240086</v>
      </c>
      <c r="I15" s="8" cm="1">
        <f t="array" ref="I15">Table36[2028]</f>
        <v>20751353959.041523</v>
      </c>
      <c r="J15" s="8" cm="1">
        <f t="array" ref="J15">Table36[2029]</f>
        <v>20751353959.041523</v>
      </c>
      <c r="K15" s="8" cm="1">
        <f t="array" ref="K15">Table36[2030]</f>
        <v>20751353959.041523</v>
      </c>
      <c r="L15" s="8" cm="1">
        <f t="array" ref="L15">Table36[2031]</f>
        <v>20751353959.041523</v>
      </c>
      <c r="M15" s="8" cm="1">
        <f t="array" ref="M15">Table36[2032]</f>
        <v>20751353959.041523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9491677710.0826931</v>
      </c>
      <c r="F17" s="8">
        <f>Table4[[#Totals],[2025]]</f>
        <v>9532610410.4248867</v>
      </c>
      <c r="G17" s="8">
        <f>Table4[[#Totals],[2026]]</f>
        <v>9534282771.1187172</v>
      </c>
      <c r="H17" s="8">
        <f>Table4[[#Totals],[2027]]</f>
        <v>10550326625.562725</v>
      </c>
      <c r="I17" s="8">
        <f>Table4[[#Totals],[2028]]</f>
        <v>10457786547.243435</v>
      </c>
      <c r="J17" s="8">
        <f>Table4[[#Totals],[2029]]</f>
        <v>10457786547.243435</v>
      </c>
      <c r="K17" s="8">
        <f>Table4[[#Totals],[2030]]</f>
        <v>10457786547.243435</v>
      </c>
      <c r="L17" s="8">
        <f>Table4[[#Totals],[2031]]</f>
        <v>10457786547.243435</v>
      </c>
      <c r="M17" s="8">
        <f>Table4[[#Totals],[2032]]</f>
        <v>10457786547.243435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v>3500000000</v>
      </c>
      <c r="D19" s="8">
        <v>3500000000</v>
      </c>
      <c r="E19" s="8">
        <v>3500000000</v>
      </c>
      <c r="F19" s="8">
        <v>3500000000</v>
      </c>
      <c r="G19" s="8">
        <v>3500000000</v>
      </c>
      <c r="H19" s="8">
        <v>3500000000</v>
      </c>
      <c r="I19" s="8">
        <v>3500000000</v>
      </c>
      <c r="J19" s="8">
        <v>3500000000</v>
      </c>
      <c r="K19" s="8">
        <v>3500000000</v>
      </c>
      <c r="L19" s="8">
        <v>3500000000</v>
      </c>
      <c r="M19" s="8">
        <v>3500000000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318400736080.66931</v>
      </c>
      <c r="D23" s="9">
        <f>SUBTOTAL(109,Table2[2023])</f>
        <v>333537651678.32971</v>
      </c>
      <c r="E23" s="9">
        <f>SUBTOTAL(109,Table2[2024])</f>
        <v>359479028385.64252</v>
      </c>
      <c r="F23" s="9">
        <f>SUBTOTAL(109,Table2[2025])</f>
        <v>362952311488.48706</v>
      </c>
      <c r="G23" s="9">
        <f>SUBTOTAL(109,Table2[2026])</f>
        <v>365108783183.58191</v>
      </c>
      <c r="H23" s="9">
        <f>SUBTOTAL(109,Table2[2027])</f>
        <v>378482319217.88757</v>
      </c>
      <c r="I23" s="9">
        <f>SUBTOTAL(109,Table2[2028])</f>
        <v>379942340334.99603</v>
      </c>
      <c r="J23" s="9">
        <f>SUBTOTAL(109,Table2[2029])</f>
        <v>381042340334.99603</v>
      </c>
      <c r="K23" s="9">
        <f>SUBTOTAL(109,Table2[2030])</f>
        <v>383336462834.65173</v>
      </c>
      <c r="L23" s="9">
        <f>SUBTOTAL(109,Table2[2031])</f>
        <v>384334503667.87024</v>
      </c>
      <c r="M23" s="9">
        <f>SUBTOTAL(109,Table2[2032])</f>
        <v>384934503667.87024</v>
      </c>
      <c r="N23" s="24"/>
    </row>
    <row r="24" spans="2:14" ht="20" customHeight="1" x14ac:dyDescent="0.2">
      <c r="D24" s="8">
        <f>Table2[[#Totals],[2023]]/14750</f>
        <v>22612722.147683371</v>
      </c>
      <c r="E24" s="8">
        <f>Table2[[#Totals],[2024]]/14750</f>
        <v>24371459.551568985</v>
      </c>
      <c r="F24" s="8">
        <f>Table2[[#Totals],[2025]]/14750</f>
        <v>24606936.372100819</v>
      </c>
      <c r="G24" s="8">
        <f>Table2[[#Totals],[2026]]/14750</f>
        <v>24753137.842954706</v>
      </c>
      <c r="H24" s="8">
        <f>Table2[[#Totals],[2027]]/14750</f>
        <v>25659818.252060175</v>
      </c>
      <c r="I24" s="8">
        <f>Table2[[#Totals],[2028]]/14750</f>
        <v>25758802.734576002</v>
      </c>
      <c r="J24" s="8">
        <f>Table2[[#Totals],[2029]]/14750</f>
        <v>25833379.005762443</v>
      </c>
      <c r="K24" s="8">
        <f>Table2[[#Totals],[2030]]/14750</f>
        <v>25988912.734552659</v>
      </c>
      <c r="L24" s="8">
        <f>Table2[[#Totals],[2031]]/14750</f>
        <v>26056576.519855611</v>
      </c>
      <c r="M24" s="8">
        <f>Table2[[#Totals],[2032]]/14750</f>
        <v>26097254.485957306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16399663023.428572</v>
      </c>
      <c r="E30" s="8" cm="1">
        <f t="array" ref="E30">Table36[2024]</f>
        <v>19488442332.488911</v>
      </c>
      <c r="F30" s="8" cm="1">
        <f t="array" ref="F30">Table36[2025]</f>
        <v>19541950158.087807</v>
      </c>
      <c r="G30" s="8" cm="1">
        <f t="array" ref="G30">Table36[2026]</f>
        <v>19544136292.488808</v>
      </c>
      <c r="H30" s="8" cm="1">
        <f t="array" ref="H30">Table36[2027]</f>
        <v>20872323705.240086</v>
      </c>
      <c r="I30" s="8" cm="1">
        <f t="array" ref="I30">Table36[2028]</f>
        <v>20751353959.041523</v>
      </c>
      <c r="J30" s="8" cm="1">
        <f t="array" ref="J30">Table36[2029]</f>
        <v>20751353959.041523</v>
      </c>
      <c r="K30" s="8" cm="1">
        <f t="array" ref="K30">Table36[2030]</f>
        <v>20751353959.041523</v>
      </c>
      <c r="L30" s="8" cm="1">
        <f t="array" ref="L30">Table36[2031]</f>
        <v>20751353959.041523</v>
      </c>
      <c r="M30" s="8" cm="1">
        <f t="array" ref="M30">Table36[2032]</f>
        <v>20751353959.041523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9491677710.0826931</v>
      </c>
      <c r="F32" s="8">
        <f>Table4[[#Totals],[2025]]</f>
        <v>9532610410.4248867</v>
      </c>
      <c r="G32" s="8">
        <f>Table4[[#Totals],[2026]]</f>
        <v>9534282771.1187172</v>
      </c>
      <c r="H32" s="8">
        <f>Table4[[#Totals],[2027]]</f>
        <v>10550326625.562725</v>
      </c>
      <c r="I32" s="8">
        <f>Table4[[#Totals],[2028]]</f>
        <v>10457786547.243435</v>
      </c>
      <c r="J32" s="8">
        <f>Table4[[#Totals],[2029]]</f>
        <v>10457786547.243435</v>
      </c>
      <c r="K32" s="8">
        <f>Table4[[#Totals],[2030]]</f>
        <v>10457786547.243435</v>
      </c>
      <c r="L32" s="8">
        <f>Table4[[#Totals],[2031]]</f>
        <v>10457786547.243435</v>
      </c>
      <c r="M32" s="8">
        <f>Table4[[#Totals],[2032]]</f>
        <v>10457786547.243435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323660894070.00977</v>
      </c>
      <c r="E38" s="9">
        <f>SUBTOTAL(109,Table211[2024])</f>
        <v>347333144031.66998</v>
      </c>
      <c r="F38" s="9">
        <f>SUBTOTAL(109,Table211[2025])</f>
        <v>349746289422.0296</v>
      </c>
      <c r="G38" s="9">
        <f>SUBTOTAL(109,Table211[2026])</f>
        <v>350484359077.12445</v>
      </c>
      <c r="H38" s="9">
        <f>SUBTOTAL(109,Table211[2027])</f>
        <v>349711461383.9754</v>
      </c>
      <c r="I38" s="9">
        <f>SUBTOTAL(109,Table211[2028])</f>
        <v>351150099532.67609</v>
      </c>
      <c r="J38" s="9">
        <f>SUBTOTAL(109,Table211[2029])</f>
        <v>352250099532.67609</v>
      </c>
      <c r="K38" s="9">
        <f>SUBTOTAL(109,Table211[2030])</f>
        <v>354342806082.33173</v>
      </c>
      <c r="L38" s="9">
        <f>SUBTOTAL(109,Table211[2031])</f>
        <v>355273708265.55023</v>
      </c>
      <c r="M38" s="9">
        <f>SUBTOTAL(109,Table211[2032])</f>
        <v>355873708265.55023</v>
      </c>
      <c r="N38" s="24"/>
    </row>
    <row r="39" spans="2:14" x14ac:dyDescent="0.2">
      <c r="D39" s="8">
        <f>Table211[[#Totals],[2023]]/14750</f>
        <v>21943111.462373544</v>
      </c>
      <c r="E39" s="8">
        <f>Table211[[#Totals],[2024]]/14750</f>
        <v>23548009.764858983</v>
      </c>
      <c r="F39" s="8">
        <f>Table211[[#Totals],[2025]]/14750</f>
        <v>23711612.842171498</v>
      </c>
      <c r="G39" s="8">
        <f>Table211[[#Totals],[2026]]/14750</f>
        <v>23761651.462855894</v>
      </c>
      <c r="H39" s="8">
        <f>Table211[[#Totals],[2027]]/14750</f>
        <v>23709251.61925257</v>
      </c>
      <c r="I39" s="8">
        <f>Table211[[#Totals],[2028]]/14750</f>
        <v>23806786.408994988</v>
      </c>
      <c r="J39" s="8">
        <f>Table211[[#Totals],[2029]]/14750</f>
        <v>23881362.680181429</v>
      </c>
      <c r="K39" s="8">
        <f>Table211[[#Totals],[2030]]/14750</f>
        <v>24023241.090327576</v>
      </c>
      <c r="L39" s="8">
        <f>Table211[[#Totals],[2031]]/14750</f>
        <v>24086353.102749169</v>
      </c>
      <c r="M39" s="8">
        <f>Table211[[#Totals],[2032]]/14750</f>
        <v>24127031.068850864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18"/>
  <sheetViews>
    <sheetView showGridLines="0" zoomScale="159" zoomScaleNormal="100" workbookViewId="0">
      <selection activeCell="I7" sqref="I7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226133977884.88779</v>
      </c>
      <c r="F5" s="33">
        <v>226054942964.88779</v>
      </c>
      <c r="G5" s="33">
        <v>225292846164.88779</v>
      </c>
      <c r="H5" s="33">
        <v>232154544244.88779</v>
      </c>
      <c r="I5" s="33">
        <v>231460133289.84375</v>
      </c>
      <c r="J5" s="33">
        <v>231460133289.84375</v>
      </c>
      <c r="K5" s="33">
        <v>231460133289.84375</v>
      </c>
      <c r="L5" s="33">
        <v>231460133289.84375</v>
      </c>
      <c r="M5" s="33">
        <v>231460133289.84375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49989633078.714592</v>
      </c>
      <c r="F6" s="33">
        <v>50424740574.41803</v>
      </c>
      <c r="G6" s="33">
        <v>50426990574.41803</v>
      </c>
      <c r="H6" s="33">
        <v>52994597261.528358</v>
      </c>
      <c r="I6" s="33">
        <v>53262539158.198814</v>
      </c>
      <c r="J6" s="33">
        <v>53262539158.198814</v>
      </c>
      <c r="K6" s="33">
        <v>54456661657.854462</v>
      </c>
      <c r="L6" s="33">
        <v>54854702491.073013</v>
      </c>
      <c r="M6" s="33">
        <v>54854702491.073013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276123610963.60236</v>
      </c>
      <c r="F7" s="35">
        <v>276479683539.30579</v>
      </c>
      <c r="G7" s="35">
        <v>275719836739.30579</v>
      </c>
      <c r="H7" s="35">
        <v>285149141506.41614</v>
      </c>
      <c r="I7" s="35">
        <v>284722672448.04254</v>
      </c>
      <c r="J7" s="35">
        <v>284722672448.04254</v>
      </c>
      <c r="K7" s="35">
        <v>285916794947.69824</v>
      </c>
      <c r="L7" s="35">
        <v>286314835780.91675</v>
      </c>
      <c r="M7" s="35">
        <v>286314835780.91675</v>
      </c>
      <c r="N7" s="40"/>
    </row>
    <row r="8" spans="2:14" ht="21" customHeight="1" x14ac:dyDescent="0.2">
      <c r="B8" s="29" t="s">
        <v>67</v>
      </c>
      <c r="C8" s="32">
        <v>48982.76617610659</v>
      </c>
      <c r="D8" s="33">
        <v>51035.255243789958</v>
      </c>
      <c r="E8" s="33">
        <v>54567.49382395867</v>
      </c>
      <c r="F8" s="33">
        <v>54628.683823958658</v>
      </c>
      <c r="G8" s="33">
        <v>54631.183823958658</v>
      </c>
      <c r="H8" s="33">
        <v>56150.060490625328</v>
      </c>
      <c r="I8" s="33">
        <v>56011.72299163264</v>
      </c>
      <c r="J8" s="33">
        <v>56011.72299163264</v>
      </c>
      <c r="K8" s="33">
        <v>56011.72299163264</v>
      </c>
      <c r="L8" s="33">
        <v>56011.72299163264</v>
      </c>
      <c r="M8" s="33">
        <v>56011.72299163264</v>
      </c>
      <c r="N8" s="39"/>
    </row>
    <row r="9" spans="2:14" ht="21" customHeight="1" thickBot="1" x14ac:dyDescent="0.25">
      <c r="B9" s="29" t="s">
        <v>68</v>
      </c>
      <c r="C9" s="36">
        <v>0.80648025591983208</v>
      </c>
      <c r="D9" s="37">
        <v>0.84027360892539138</v>
      </c>
      <c r="E9" s="37">
        <v>0.89843040357971071</v>
      </c>
      <c r="F9" s="37">
        <v>0.89943787070972747</v>
      </c>
      <c r="G9" s="37">
        <v>0.89947903213847469</v>
      </c>
      <c r="H9" s="37">
        <v>0.92448668561480107</v>
      </c>
      <c r="I9" s="37">
        <v>0.92220901797165855</v>
      </c>
      <c r="J9" s="37">
        <v>0.92220901797165855</v>
      </c>
      <c r="K9" s="37">
        <v>0.92220901797165855</v>
      </c>
      <c r="L9" s="37">
        <v>0.92220901797165855</v>
      </c>
      <c r="M9" s="37">
        <v>0.92220901797165855</v>
      </c>
      <c r="N9" s="41"/>
    </row>
    <row r="10" spans="2:14" ht="21" customHeight="1" x14ac:dyDescent="0.2">
      <c r="C10" s="99">
        <v>248951980320.72696</v>
      </c>
      <c r="D10" s="99">
        <v>257601884350.43256</v>
      </c>
      <c r="E10" s="99">
        <v>277388735203.60236</v>
      </c>
      <c r="F10" s="99">
        <v>278166515859.30579</v>
      </c>
      <c r="G10" s="99">
        <v>277485942859.30579</v>
      </c>
      <c r="H10" s="99">
        <v>287397013826.41614</v>
      </c>
      <c r="I10" s="99">
        <v>287010941468.04254</v>
      </c>
      <c r="J10" s="99">
        <v>287010941468.04254</v>
      </c>
      <c r="K10" s="99">
        <v>288218875367.69824</v>
      </c>
      <c r="L10" s="99">
        <v>288621520000.91675</v>
      </c>
      <c r="M10" s="99">
        <v>288621520000.91675</v>
      </c>
    </row>
    <row r="11" spans="2:14" ht="21" customHeight="1" x14ac:dyDescent="0.2"/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9"/>
  <sheetViews>
    <sheetView showGridLines="0" zoomScaleNormal="100" workbookViewId="0">
      <selection activeCell="C7" sqref="C7:M7"/>
    </sheetView>
  </sheetViews>
  <sheetFormatPr baseColWidth="10" defaultRowHeight="16" x14ac:dyDescent="0.2"/>
  <cols>
    <col min="1" max="1" width="10.83203125" style="1"/>
    <col min="2" max="2" width="10.83203125" style="29"/>
    <col min="3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74" zoomScaleNormal="100" workbookViewId="0">
      <selection activeCell="P4" sqref="P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5:G5 E4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topLeftCell="B1" zoomScale="193" zoomScaleNormal="100" workbookViewId="0">
      <selection activeCell="L50" sqref="L50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0.80648025591983208</v>
      </c>
      <c r="G2" s="62">
        <f>Summary!$D$3</f>
        <v>0.84027360892539138</v>
      </c>
      <c r="H2" s="63">
        <f>Summary!$E$3</f>
        <v>0.89843040357971071</v>
      </c>
      <c r="I2" s="63">
        <f>Summary!$F$3</f>
        <v>0.89943787070972747</v>
      </c>
      <c r="J2" s="63">
        <f>Summary!$G$3</f>
        <v>0.89947903213847469</v>
      </c>
      <c r="K2" s="63">
        <f>Summary!$H$3</f>
        <v>0.92448668561480107</v>
      </c>
      <c r="L2" s="63">
        <f>Summary!$I$3</f>
        <v>0.92220901797165855</v>
      </c>
      <c r="M2" s="63">
        <f>Summary!$J$3</f>
        <v>0.92220901797165855</v>
      </c>
      <c r="N2" s="63">
        <f>Summary!$K$3</f>
        <v>0.92220901797165855</v>
      </c>
      <c r="O2" s="63">
        <f>Summary!$L$3</f>
        <v>0.92220901797165855</v>
      </c>
      <c r="P2" s="63">
        <f>Summary!$M$3</f>
        <v>0.92220901797165855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6" t="s">
        <v>22</v>
      </c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v>16399663023.428572</v>
      </c>
      <c r="H4" s="67">
        <f>Table36[[#This Row],[2023]]+(H2-G2)*100*$H$9</f>
        <v>19488442332.488911</v>
      </c>
      <c r="I4" s="67">
        <f>Table36[[#This Row],[2024]]+(I2-H2)*100*$H$9</f>
        <v>19541950158.087807</v>
      </c>
      <c r="J4" s="67">
        <f>Table36[[#This Row],[2025]]+(J2-I2)*100*$H$9</f>
        <v>19544136292.488808</v>
      </c>
      <c r="K4" s="67">
        <f>Table36[[#This Row],[2026]]+(K2-J2)*100*$H$9</f>
        <v>20872323705.240086</v>
      </c>
      <c r="L4" s="67">
        <f>Table36[[#This Row],[2027]]+(L2-K2)*100*$H$9</f>
        <v>20751353959.041523</v>
      </c>
      <c r="M4" s="67">
        <f>Table36[[#This Row],[2028]]+(M2-L2)*100*$H$9</f>
        <v>20751353959.041523</v>
      </c>
      <c r="N4" s="67">
        <f>Table36[[#This Row],[2029]]+(N2-M2)*100*$H$9</f>
        <v>20751353959.041523</v>
      </c>
      <c r="O4" s="67">
        <f>Table36[[#This Row],[2030]]+(O2-N2)*100*$H$9</f>
        <v>20751353959.041523</v>
      </c>
      <c r="P4" s="67">
        <f>Table36[[#This Row],[2031]]+(P2-O2)*100*$H$9</f>
        <v>20751353959.041523</v>
      </c>
      <c r="Q4" s="79"/>
      <c r="W4" s="45"/>
      <c r="X4" s="108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0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1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1248114071.5262394</v>
      </c>
      <c r="H9" s="76">
        <f>G9/(G8*100)</f>
        <v>531112370.86222953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6" t="s">
        <v>41</v>
      </c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45"/>
    </row>
    <row r="14" spans="2:38" x14ac:dyDescent="0.2">
      <c r="F14" s="77" t="s">
        <v>73</v>
      </c>
      <c r="G14" s="78" t="s">
        <v>74</v>
      </c>
      <c r="W14" s="45"/>
      <c r="X14" s="108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45"/>
    </row>
    <row r="15" spans="2:38" x14ac:dyDescent="0.2">
      <c r="W15" s="45"/>
      <c r="X15" s="110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1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2" t="s">
        <v>42</v>
      </c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56"/>
    </row>
    <row r="24" spans="23:38" ht="15" customHeight="1" x14ac:dyDescent="0.2">
      <c r="X24" s="104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56"/>
    </row>
    <row r="25" spans="23:38" ht="20.25" customHeight="1" x14ac:dyDescent="0.2">
      <c r="X25" s="100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1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2" t="s">
        <v>43</v>
      </c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56"/>
    </row>
    <row r="34" spans="24:38" ht="15" customHeight="1" x14ac:dyDescent="0.2">
      <c r="X34" s="104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56"/>
    </row>
    <row r="35" spans="24:38" ht="20.25" customHeight="1" x14ac:dyDescent="0.2">
      <c r="X35" s="100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1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H12" sqref="H12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0.80648025591983208</v>
      </c>
      <c r="G2" s="43">
        <f>Summary!$D$3</f>
        <v>0.84027360892539138</v>
      </c>
      <c r="H2" s="62">
        <f>Summary!$E$3</f>
        <v>0.89843040357971071</v>
      </c>
      <c r="I2" s="63">
        <f>Summary!$F$3</f>
        <v>0.89943787070972747</v>
      </c>
      <c r="J2" s="63">
        <f>Summary!$G$3</f>
        <v>0.89947903213847469</v>
      </c>
      <c r="K2" s="63">
        <f>Summary!$H$3</f>
        <v>0.92448668561480107</v>
      </c>
      <c r="L2" s="63">
        <f>Summary!$I$3</f>
        <v>0.92220901797165855</v>
      </c>
      <c r="M2" s="63">
        <f>Summary!$J$3</f>
        <v>0.92220901797165855</v>
      </c>
      <c r="N2" s="63">
        <f>Summary!$K$3</f>
        <v>0.92220901797165855</v>
      </c>
      <c r="O2" s="63">
        <f>Summary!$L$3</f>
        <v>0.92220901797165855</v>
      </c>
      <c r="P2" s="63">
        <f>Summary!$M$3</f>
        <v>0.92220901797165855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9491677710.0826931</v>
      </c>
      <c r="I8" s="82">
        <f>Table4[[#Totals],[2024]]+(I2-H2)*100*$I$11</f>
        <v>9532610410.4248867</v>
      </c>
      <c r="J8" s="82">
        <f>Table4[[#Totals],[2025]]+(J2-I2)*100*$I$11</f>
        <v>9534282771.1187172</v>
      </c>
      <c r="K8" s="82">
        <f>Table4[[#Totals],[2026]]+(K2-J2)*100*$I$11</f>
        <v>10550326625.562725</v>
      </c>
      <c r="L8" s="82">
        <f>Table4[[#Totals],[2027]]+(L2-K2)*100*$I$11</f>
        <v>10457786547.243435</v>
      </c>
      <c r="M8" s="82">
        <f>Table4[[#Totals],[2028]]+(M2-L2)*100*$I$11</f>
        <v>10457786547.243435</v>
      </c>
      <c r="N8" s="82">
        <f>Table4[[#Totals],[2029]]+(N2-M2)*100*$I$11</f>
        <v>10457786547.243435</v>
      </c>
      <c r="O8" s="82">
        <f>Table4[[#Totals],[2030]]+(O2-N2)*100*$I$11</f>
        <v>10457786547.243435</v>
      </c>
      <c r="P8" s="82">
        <f>Table4[[#Totals],[2031]]+(P2-O2)*100*$I$11</f>
        <v>10457786547.243435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2022-10-03T09:48:21Z</dcterms:modified>
</cp:coreProperties>
</file>