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445" documentId="8_{63EB4802-57AD-0F44-B5C6-2C4816D8263D}" xr6:coauthVersionLast="47" xr6:coauthVersionMax="47" xr10:uidLastSave="{248819B7-12A8-1447-92D0-674CD8E15C14}"/>
  <bookViews>
    <workbookView xWindow="5140" yWindow="880" windowWidth="26400" windowHeight="21500" activeTab="1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1" l="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I17" i="1" l="1"/>
  <c r="M8" i="4"/>
  <c r="J32" i="1" s="1"/>
  <c r="I15" i="1" a="1"/>
  <c r="I15" i="1" s="1"/>
  <c r="M4" i="2"/>
  <c r="J30" i="1" s="1" a="1"/>
  <c r="J30" i="1" s="1"/>
  <c r="J17" i="1" l="1"/>
  <c r="N8" i="4"/>
  <c r="K32" i="1" s="1"/>
  <c r="N4" i="2"/>
  <c r="K30" i="1" s="1" a="1"/>
  <c r="K30" i="1" s="1"/>
  <c r="J15" i="1" a="1"/>
  <c r="J15" i="1" s="1"/>
  <c r="K17" i="1" l="1"/>
  <c r="O8" i="4"/>
  <c r="L32" i="1" s="1"/>
  <c r="K15" i="1" a="1"/>
  <c r="K15" i="1" s="1"/>
  <c r="O4" i="2"/>
  <c r="L30" i="1" s="1" a="1"/>
  <c r="L30" i="1" s="1"/>
  <c r="L17" i="1" l="1"/>
  <c r="P8" i="4"/>
  <c r="M32" i="1" s="1"/>
  <c r="L15" i="1" a="1"/>
  <c r="L15" i="1" s="1"/>
  <c r="P4" i="2"/>
  <c r="M15" i="1" s="1" a="1"/>
  <c r="M15" i="1" s="1"/>
  <c r="G4" i="9"/>
  <c r="M17" i="1" l="1"/>
  <c r="M30" i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<sst xmlns="http://schemas.openxmlformats.org/spreadsheetml/2006/main" count="401" uniqueCount="116">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</sst>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/>
      <right/>
      <top style="medium">
        <color theme="7" tint="0.39997558519241921"/>
      </top>
      <bottom/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/>
      <top/>
      <bottom/>
      <diagonal/>
    </border>
    <border>
      <left/>
      <right style="medium">
        <color theme="7" tint="0.39997558519241921"/>
      </right>
      <top/>
      <bottom/>
      <diagonal/>
    </border>
    <border>
      <left style="medium">
        <color theme="7" tint="0.39997558519241921"/>
      </left>
      <right/>
      <top/>
      <bottom style="medium">
        <color theme="7" tint="0.39997558519241921"/>
      </bottom>
      <diagonal/>
    </border>
    <border>
      <left/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2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3" fillId="0" borderId="37" xfId="0" applyFont="1" applyBorder="1" applyAlignment="1">
      <alignment horizontal="right" vertical="center"/>
    </xf>
    <xf numFmtId="164" fontId="18" fillId="0" borderId="37" xfId="1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4" fontId="3" fillId="0" borderId="35" xfId="0" applyNumberFormat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320000736080.66931</c:v>
                </c:pt>
                <c:pt idx="1">
                  <c:v>338705101412.07971</c:v>
                </c:pt>
                <c:pt idx="2">
                  <c:v>369808233471.06494</c:v>
                </c:pt>
                <c:pt idx="3">
                  <c:v>371183345680.15674</c:v>
                </c:pt>
                <c:pt idx="4">
                  <c:v>371661489370.69165</c:v>
                </c:pt>
                <c:pt idx="5">
                  <c:v>384827536591.31122</c:v>
                </c:pt>
                <c:pt idx="6">
                  <c:v>386159518622.84161</c:v>
                </c:pt>
                <c:pt idx="7">
                  <c:v>387259518622.84161</c:v>
                </c:pt>
                <c:pt idx="8">
                  <c:v>389547519772.49731</c:v>
                </c:pt>
                <c:pt idx="9">
                  <c:v>390543520155.71582</c:v>
                </c:pt>
                <c:pt idx="10">
                  <c:v>391143520155.71582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324960894070.00977</c:v>
                </c:pt>
                <c:pt idx="2">
                  <c:v>352415288250.59235</c:v>
                </c:pt>
                <c:pt idx="3">
                  <c:v>354240884197.19928</c:v>
                </c:pt>
                <c:pt idx="4">
                  <c:v>354476435847.73425</c:v>
                </c:pt>
                <c:pt idx="5">
                  <c:v>354609965690.89905</c:v>
                </c:pt>
                <c:pt idx="6">
                  <c:v>355922605204.02161</c:v>
                </c:pt>
                <c:pt idx="7">
                  <c:v>357022605204.02161</c:v>
                </c:pt>
                <c:pt idx="8">
                  <c:v>359115311753.67725</c:v>
                </c:pt>
                <c:pt idx="9">
                  <c:v>360046213936.89581</c:v>
                </c:pt>
                <c:pt idx="10">
                  <c:v>360646213936.89581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0.80651318506282987</c:v>
                </c:pt>
                <c:pt idx="1">
                  <c:v>0.84746186247561472</c:v>
                </c:pt>
                <c:pt idx="2">
                  <c:v>0.90940881520945416</c:v>
                </c:pt>
                <c:pt idx="3">
                  <c:v>0.9061006849015163</c:v>
                </c:pt>
                <c:pt idx="4">
                  <c:v>0.90275531722103852</c:v>
                </c:pt>
                <c:pt idx="5">
                  <c:v>0.92456308122655606</c:v>
                </c:pt>
                <c:pt idx="6">
                  <c:v>0.92228541358341343</c:v>
                </c:pt>
                <c:pt idx="7">
                  <c:v>0.92228541358341343</c:v>
                </c:pt>
                <c:pt idx="8">
                  <c:v>0.92228541358341343</c:v>
                </c:pt>
                <c:pt idx="9">
                  <c:v>0.92228541358341343</c:v>
                </c:pt>
                <c:pt idx="10">
                  <c:v>0.92228541358341343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259869334084.18256</c:v>
                </c:pt>
                <c:pt idx="2">
                  <c:v>279770671830.10236</c:v>
                </c:pt>
                <c:pt idx="3">
                  <c:v>278616122955.80579</c:v>
                </c:pt>
                <c:pt idx="4">
                  <c:v>276680466155.80579</c:v>
                </c:pt>
                <c:pt idx="5">
                  <c:v>284995854572.91614</c:v>
                </c:pt>
                <c:pt idx="6">
                  <c:v>284567345064.54254</c:v>
                </c:pt>
                <c:pt idx="7">
                  <c:v>284567345064.54254</c:v>
                </c:pt>
                <c:pt idx="8">
                  <c:v>285755346214.19824</c:v>
                </c:pt>
                <c:pt idx="9">
                  <c:v>286151346597.41675</c:v>
                </c:pt>
                <c:pt idx="10">
                  <c:v>286151346597.41675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topLeftCell="A4" zoomScale="141" zoomScaleNormal="80" workbookViewId="0">
      <selection activeCell="F24" sqref="F24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0.80651318506282987</v>
      </c>
      <c r="D3" s="20">
        <f>'TE Office'!D9</f>
        <v>0.84746186247561472</v>
      </c>
      <c r="E3" s="20">
        <f>'TE Office'!E9</f>
        <v>0.90940881520945416</v>
      </c>
      <c r="F3" s="20">
        <f>'TE Office'!F9</f>
        <v>0.9061006849015163</v>
      </c>
      <c r="G3" s="20">
        <f>'TE Office'!G9</f>
        <v>0.90275531722103852</v>
      </c>
      <c r="H3" s="20">
        <f>'TE Office'!H9</f>
        <v>0.92456308122655606</v>
      </c>
      <c r="I3" s="20">
        <f>'TE Office'!I9</f>
        <v>0.92228541358341343</v>
      </c>
      <c r="J3" s="20">
        <f>'TE Office'!J9</f>
        <v>0.92228541358341343</v>
      </c>
      <c r="K3" s="20">
        <f>'TE Office'!K9</f>
        <v>0.92228541358341343</v>
      </c>
      <c r="L3" s="20">
        <f>'TE Office'!L9</f>
        <v>0.92228541358341343</v>
      </c>
      <c r="M3" s="20">
        <f>'TE Office'!M9</f>
        <v>0.92228541358341343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259869334084.18256</v>
      </c>
      <c r="E13" s="8">
        <f>'TE Office'!E7</f>
        <v>279770671830.10236</v>
      </c>
      <c r="F13" s="8">
        <f>'TE Office'!F7</f>
        <v>278616122955.80579</v>
      </c>
      <c r="G13" s="8">
        <f>'TE Office'!G7</f>
        <v>276680466155.80579</v>
      </c>
      <c r="H13" s="8">
        <f>'TE Office'!H7</f>
        <v>284995854572.91614</v>
      </c>
      <c r="I13" s="8">
        <f>'TE Office'!I7</f>
        <v>284567345064.54254</v>
      </c>
      <c r="J13" s="8">
        <f>'TE Office'!J7</f>
        <v>284567345064.54254</v>
      </c>
      <c r="K13" s="8">
        <f>'TE Office'!K7</f>
        <v>285755346214.19824</v>
      </c>
      <c r="L13" s="8">
        <f>'TE Office'!L7</f>
        <v>286151346597.41675</v>
      </c>
      <c r="M13" s="8">
        <f>'TE Office'!M7</f>
        <v>286151346597.41675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24416595021.269829</v>
      </c>
      <c r="F15" s="8" cm="1">
        <f t="array" ref="F15">Table36[2025]</f>
        <v>24057893174.967743</v>
      </c>
      <c r="G15" s="8" cm="1">
        <f t="array" ref="G15">Table36[2026]</f>
        <v>23695153665.986694</v>
      </c>
      <c r="H15" s="8" cm="1">
        <f t="array" ref="H15">Table36[2027]</f>
        <v>26059777935.39024</v>
      </c>
      <c r="I15" s="8" cm="1">
        <f t="array" ref="I15">Table36[2028]</f>
        <v>25812809553.613567</v>
      </c>
      <c r="J15" s="8" cm="1">
        <f t="array" ref="J15">Table36[2029]</f>
        <v>25812809553.613567</v>
      </c>
      <c r="K15" s="8" cm="1">
        <f t="array" ref="K15">Table36[2030]</f>
        <v>25812809553.613567</v>
      </c>
      <c r="L15" s="8" cm="1">
        <f t="array" ref="L15">Table36[2031]</f>
        <v>25812809553.613567</v>
      </c>
      <c r="M15" s="8" cm="1">
        <f t="array" ref="M15">Table36[2032]</f>
        <v>25812809553.613567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9645669240.2241859</v>
      </c>
      <c r="F17" s="8">
        <f>Table4[[#Totals],[2025]]</f>
        <v>9511262168.7145729</v>
      </c>
      <c r="G17" s="8">
        <f>Table4[[#Totals],[2026]]</f>
        <v>9375342168.2306099</v>
      </c>
      <c r="H17" s="8">
        <f>Table4[[#Totals],[2027]]</f>
        <v>10261376702.336218</v>
      </c>
      <c r="I17" s="8">
        <f>Table4[[#Totals],[2028]]</f>
        <v>10168836624.016922</v>
      </c>
      <c r="J17" s="8">
        <f>Table4[[#Totals],[2029]]</f>
        <v>10168836624.016922</v>
      </c>
      <c r="K17" s="8">
        <f>Table4[[#Totals],[2030]]</f>
        <v>10168836624.016922</v>
      </c>
      <c r="L17" s="8">
        <f>Table4[[#Totals],[2031]]</f>
        <v>10168836624.016922</v>
      </c>
      <c r="M17" s="8">
        <f>Table4[[#Totals],[2032]]</f>
        <v>10168836624.016922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320000736080.66931</v>
      </c>
      <c r="D23" s="9">
        <f>SUBTOTAL(109,Table2[2023])</f>
        <v>338705101412.07971</v>
      </c>
      <c r="E23" s="9">
        <f>SUBTOTAL(109,Table2[2024])</f>
        <v>369808233471.06494</v>
      </c>
      <c r="F23" s="9">
        <f>SUBTOTAL(109,Table2[2025])</f>
        <v>371183345680.15674</v>
      </c>
      <c r="G23" s="9">
        <f>SUBTOTAL(109,Table2[2026])</f>
        <v>371661489370.69165</v>
      </c>
      <c r="H23" s="9">
        <f>SUBTOTAL(109,Table2[2027])</f>
        <v>384827536591.31122</v>
      </c>
      <c r="I23" s="9">
        <f>SUBTOTAL(109,Table2[2028])</f>
        <v>386159518622.84161</v>
      </c>
      <c r="J23" s="9">
        <f>SUBTOTAL(109,Table2[2029])</f>
        <v>387259518622.84161</v>
      </c>
      <c r="K23" s="9">
        <f>SUBTOTAL(109,Table2[2030])</f>
        <v>389547519772.49731</v>
      </c>
      <c r="L23" s="9">
        <f>SUBTOTAL(109,Table2[2031])</f>
        <v>390543520155.71582</v>
      </c>
      <c r="M23" s="9">
        <f>SUBTOTAL(109,Table2[2032])</f>
        <v>391143520155.71582</v>
      </c>
      <c r="N23" s="24"/>
    </row>
    <row r="24" spans="2:14" ht="20" customHeight="1" x14ac:dyDescent="0.2">
      <c r="D24" s="8">
        <f>Table2[[#Totals],[2023]]/14750</f>
        <v>22963057.722852863</v>
      </c>
      <c r="E24" s="8">
        <f>Table2[[#Totals],[2024]]/14750</f>
        <v>25071744.642106097</v>
      </c>
      <c r="F24" s="8">
        <f>Table2[[#Totals],[2025]]/14750</f>
        <v>25164972.588485204</v>
      </c>
      <c r="G24" s="8">
        <f>Table2[[#Totals],[2026]]/14750</f>
        <v>25197389.1098774</v>
      </c>
      <c r="H24" s="8">
        <f>Table2[[#Totals],[2027]]/14750</f>
        <v>26090002.480766863</v>
      </c>
      <c r="I24" s="8">
        <f>Table2[[#Totals],[2028]]/14750</f>
        <v>26180306.347311296</v>
      </c>
      <c r="J24" s="8">
        <f>Table2[[#Totals],[2029]]/14750</f>
        <v>26254882.618497737</v>
      </c>
      <c r="K24" s="8">
        <f>Table2[[#Totals],[2030]]/14750</f>
        <v>26410001.340508293</v>
      </c>
      <c r="L24" s="8">
        <f>Table2[[#Totals],[2031]]/14750</f>
        <v>26477526.790218022</v>
      </c>
      <c r="M24" s="8">
        <f>Table2[[#Totals],[2032]]/14750</f>
        <v>26518204.756319717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24416595021.269829</v>
      </c>
      <c r="F30" s="8" cm="1">
        <f t="array" ref="F30">Table36[2025]</f>
        <v>24057893174.967743</v>
      </c>
      <c r="G30" s="8" cm="1">
        <f t="array" ref="G30">Table36[2026]</f>
        <v>23695153665.986694</v>
      </c>
      <c r="H30" s="8" cm="1">
        <f t="array" ref="H30">Table36[2027]</f>
        <v>26059777935.39024</v>
      </c>
      <c r="I30" s="8" cm="1">
        <f t="array" ref="I30">Table36[2028]</f>
        <v>25812809553.613567</v>
      </c>
      <c r="J30" s="8" cm="1">
        <f t="array" ref="J30">Table36[2029]</f>
        <v>25812809553.613567</v>
      </c>
      <c r="K30" s="8" cm="1">
        <f t="array" ref="K30">Table36[2030]</f>
        <v>25812809553.613567</v>
      </c>
      <c r="L30" s="8" cm="1">
        <f t="array" ref="L30">Table36[2031]</f>
        <v>25812809553.613567</v>
      </c>
      <c r="M30" s="8" cm="1">
        <f t="array" ref="M30">Table36[2032]</f>
        <v>25812809553.613567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9645669240.2241859</v>
      </c>
      <c r="F32" s="8">
        <f>Table4[[#Totals],[2025]]</f>
        <v>9511262168.7145729</v>
      </c>
      <c r="G32" s="8">
        <f>Table4[[#Totals],[2026]]</f>
        <v>9375342168.2306099</v>
      </c>
      <c r="H32" s="8">
        <f>Table4[[#Totals],[2027]]</f>
        <v>10261376702.336218</v>
      </c>
      <c r="I32" s="8">
        <f>Table4[[#Totals],[2028]]</f>
        <v>10168836624.016922</v>
      </c>
      <c r="J32" s="8">
        <f>Table4[[#Totals],[2029]]</f>
        <v>10168836624.016922</v>
      </c>
      <c r="K32" s="8">
        <f>Table4[[#Totals],[2030]]</f>
        <v>10168836624.016922</v>
      </c>
      <c r="L32" s="8">
        <f>Table4[[#Totals],[2031]]</f>
        <v>10168836624.016922</v>
      </c>
      <c r="M32" s="8">
        <f>Table4[[#Totals],[2032]]</f>
        <v>10168836624.016922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324960894070.00977</v>
      </c>
      <c r="E38" s="9">
        <f>SUBTOTAL(109,Table211[2024])</f>
        <v>352415288250.59235</v>
      </c>
      <c r="F38" s="9">
        <f>SUBTOTAL(109,Table211[2025])</f>
        <v>354240884197.19928</v>
      </c>
      <c r="G38" s="9">
        <f>SUBTOTAL(109,Table211[2026])</f>
        <v>354476435847.73425</v>
      </c>
      <c r="H38" s="9">
        <f>SUBTOTAL(109,Table211[2027])</f>
        <v>354609965690.89905</v>
      </c>
      <c r="I38" s="9">
        <f>SUBTOTAL(109,Table211[2028])</f>
        <v>355922605204.02161</v>
      </c>
      <c r="J38" s="9">
        <f>SUBTOTAL(109,Table211[2029])</f>
        <v>357022605204.02161</v>
      </c>
      <c r="K38" s="9">
        <f>SUBTOTAL(109,Table211[2030])</f>
        <v>359115311753.67725</v>
      </c>
      <c r="L38" s="9">
        <f>SUBTOTAL(109,Table211[2031])</f>
        <v>360046213936.89581</v>
      </c>
      <c r="M38" s="9">
        <f>SUBTOTAL(109,Table211[2032])</f>
        <v>360646213936.89581</v>
      </c>
      <c r="N38" s="24"/>
    </row>
    <row r="39" spans="2:14" x14ac:dyDescent="0.2">
      <c r="D39" s="8">
        <f>Table211[[#Totals],[2023]]/14750</f>
        <v>22031247.055593882</v>
      </c>
      <c r="E39" s="8">
        <f>Table211[[#Totals],[2024]]/14750</f>
        <v>23892561.915294398</v>
      </c>
      <c r="F39" s="8">
        <f>Table211[[#Totals],[2025]]/14750</f>
        <v>24016331.132013511</v>
      </c>
      <c r="G39" s="8">
        <f>Table211[[#Totals],[2026]]/14750</f>
        <v>24032300.73543961</v>
      </c>
      <c r="H39" s="8">
        <f>Table211[[#Totals],[2027]]/14750</f>
        <v>24041353.606162649</v>
      </c>
      <c r="I39" s="8">
        <f>Table211[[#Totals],[2028]]/14750</f>
        <v>24130346.115526889</v>
      </c>
      <c r="J39" s="8">
        <f>Table211[[#Totals],[2029]]/14750</f>
        <v>24204922.38671333</v>
      </c>
      <c r="K39" s="8">
        <f>Table211[[#Totals],[2030]]/14750</f>
        <v>24346800.796859473</v>
      </c>
      <c r="L39" s="8">
        <f>Table211[[#Totals],[2031]]/14750</f>
        <v>24409912.809281074</v>
      </c>
      <c r="M39" s="8">
        <f>Table211[[#Totals],[2032]]/14750</f>
        <v>24450590.775382768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A2:ED79"/>
  <sheetViews>
    <sheetView showGridLines="0" tabSelected="1" zoomScale="94" zoomScaleNormal="100" workbookViewId="0">
      <selection activeCell="B3" sqref="B3:M7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2" spans="1:134" ht="17" thickBot="1" x14ac:dyDescent="0.25"/>
    <row r="3" spans="1:134" s="6" customFormat="1" ht="21" customHeight="1" x14ac:dyDescent="0.2">
      <c r="A3" s="101"/>
      <c r="B3" s="102"/>
      <c r="C3" s="103">
        <v>0</v>
      </c>
      <c r="D3" s="103">
        <v>1</v>
      </c>
      <c r="E3" s="103">
        <v>2</v>
      </c>
      <c r="F3" s="103">
        <v>3</v>
      </c>
      <c r="G3" s="103">
        <v>4</v>
      </c>
      <c r="H3" s="103">
        <v>5</v>
      </c>
      <c r="I3" s="103">
        <v>6</v>
      </c>
      <c r="J3" s="103">
        <v>7</v>
      </c>
      <c r="K3" s="103">
        <v>8</v>
      </c>
      <c r="L3" s="103">
        <v>9</v>
      </c>
      <c r="M3" s="103">
        <v>10</v>
      </c>
      <c r="N3" s="103"/>
      <c r="O3" s="104"/>
    </row>
    <row r="4" spans="1:134" s="6" customFormat="1" ht="21" customHeight="1" thickBot="1" x14ac:dyDescent="0.25">
      <c r="A4" s="105"/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115"/>
      <c r="O4" s="116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5"/>
      <c r="BU4" s="115"/>
      <c r="BV4" s="115"/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/>
      <c r="DA4" s="115"/>
      <c r="DB4" s="115"/>
      <c r="DC4" s="115"/>
      <c r="DD4" s="115"/>
      <c r="DE4" s="115"/>
      <c r="DF4" s="115"/>
      <c r="DG4" s="115"/>
      <c r="DH4" s="115"/>
      <c r="DI4" s="115"/>
      <c r="DJ4" s="115"/>
      <c r="DK4" s="115"/>
      <c r="DL4" s="115"/>
      <c r="DM4" s="115"/>
      <c r="DN4" s="115"/>
      <c r="DO4" s="115"/>
      <c r="DP4" s="115"/>
      <c r="DQ4" s="115"/>
      <c r="DR4" s="115"/>
      <c r="DS4" s="115"/>
      <c r="DT4" s="115"/>
      <c r="DU4" s="115"/>
      <c r="DV4" s="115"/>
      <c r="DW4" s="115"/>
      <c r="DX4" s="115"/>
      <c r="DY4" s="115"/>
      <c r="DZ4" s="115"/>
      <c r="EA4" s="115"/>
      <c r="EB4" s="115"/>
      <c r="EC4" s="115"/>
      <c r="ED4" s="115"/>
    </row>
    <row r="5" spans="1:134" ht="21" customHeight="1" x14ac:dyDescent="0.2">
      <c r="A5" s="106"/>
      <c r="B5" s="29" t="s">
        <v>65</v>
      </c>
      <c r="C5" s="32">
        <v>205647908168.79742</v>
      </c>
      <c r="D5" s="33">
        <v>213915213433.65952</v>
      </c>
      <c r="E5" s="33">
        <v>229176264737.38779</v>
      </c>
      <c r="F5" s="33">
        <v>227814840567.38779</v>
      </c>
      <c r="G5" s="33">
        <v>226062051017.38779</v>
      </c>
      <c r="H5" s="33">
        <v>231990869097.38779</v>
      </c>
      <c r="I5" s="33">
        <v>231296458142.34375</v>
      </c>
      <c r="J5" s="33">
        <v>231296458142.34375</v>
      </c>
      <c r="K5" s="33">
        <v>231296458142.34375</v>
      </c>
      <c r="L5" s="33">
        <v>231296458142.34375</v>
      </c>
      <c r="M5" s="33">
        <v>231296458142.34375</v>
      </c>
      <c r="N5" s="38"/>
      <c r="O5" s="107"/>
    </row>
    <row r="6" spans="1:134" ht="21" customHeight="1" x14ac:dyDescent="0.2">
      <c r="A6" s="106"/>
      <c r="B6" s="29" t="s">
        <v>66</v>
      </c>
      <c r="C6" s="32">
        <v>43304072151.929543</v>
      </c>
      <c r="D6" s="33">
        <v>45954120650.523056</v>
      </c>
      <c r="E6" s="33">
        <v>50594407092.714592</v>
      </c>
      <c r="F6" s="33">
        <v>50801282388.41803</v>
      </c>
      <c r="G6" s="33">
        <v>50618415138.41803</v>
      </c>
      <c r="H6" s="33">
        <v>53004985475.528358</v>
      </c>
      <c r="I6" s="33">
        <v>53270886922.198814</v>
      </c>
      <c r="J6" s="33">
        <v>53270886922.198814</v>
      </c>
      <c r="K6" s="33">
        <v>54458888071.854462</v>
      </c>
      <c r="L6" s="33">
        <v>54854888455.073013</v>
      </c>
      <c r="M6" s="33">
        <v>54854888455.073013</v>
      </c>
      <c r="N6" s="39"/>
      <c r="O6" s="107"/>
    </row>
    <row r="7" spans="1:134" s="30" customFormat="1" ht="21" customHeight="1" x14ac:dyDescent="0.2">
      <c r="A7" s="108"/>
      <c r="B7" s="29" t="s">
        <v>20</v>
      </c>
      <c r="C7" s="34">
        <v>248951980320.72696</v>
      </c>
      <c r="D7" s="35">
        <v>259869334084.18256</v>
      </c>
      <c r="E7" s="35">
        <v>279770671830.10236</v>
      </c>
      <c r="F7" s="35">
        <v>278616122955.80579</v>
      </c>
      <c r="G7" s="35">
        <v>276680466155.80579</v>
      </c>
      <c r="H7" s="35">
        <v>284995854572.91614</v>
      </c>
      <c r="I7" s="35">
        <v>284567345064.54254</v>
      </c>
      <c r="J7" s="35">
        <v>284567345064.54254</v>
      </c>
      <c r="K7" s="35">
        <v>285755346214.19824</v>
      </c>
      <c r="L7" s="35">
        <v>286151346597.41675</v>
      </c>
      <c r="M7" s="35">
        <v>286151346597.41675</v>
      </c>
      <c r="N7" s="40"/>
      <c r="O7" s="109"/>
    </row>
    <row r="8" spans="1:134" ht="21" customHeight="1" x14ac:dyDescent="0.2">
      <c r="A8" s="106"/>
      <c r="B8" s="29" t="s">
        <v>67</v>
      </c>
      <c r="C8" s="32">
        <v>48984.76617610659</v>
      </c>
      <c r="D8" s="33">
        <v>51471.844410456622</v>
      </c>
      <c r="E8" s="33">
        <v>55234.283823958656</v>
      </c>
      <c r="F8" s="33">
        <v>55033.359657291992</v>
      </c>
      <c r="G8" s="33">
        <v>54830.173823958663</v>
      </c>
      <c r="H8" s="33">
        <v>56154.700490625335</v>
      </c>
      <c r="I8" s="33">
        <v>56016.362991632639</v>
      </c>
      <c r="J8" s="33">
        <v>56016.362991632639</v>
      </c>
      <c r="K8" s="33">
        <v>56016.362991632639</v>
      </c>
      <c r="L8" s="33">
        <v>56016.362991632639</v>
      </c>
      <c r="M8" s="33">
        <v>56016.362991632639</v>
      </c>
      <c r="N8" s="39"/>
      <c r="O8" s="107"/>
    </row>
    <row r="9" spans="1:134" ht="21" customHeight="1" thickBot="1" x14ac:dyDescent="0.25">
      <c r="A9" s="106"/>
      <c r="B9" s="29" t="s">
        <v>68</v>
      </c>
      <c r="C9" s="36">
        <v>0.80651318506282987</v>
      </c>
      <c r="D9" s="37">
        <v>0.84746186247561472</v>
      </c>
      <c r="E9" s="37">
        <v>0.90940881520945416</v>
      </c>
      <c r="F9" s="37">
        <v>0.9061006849015163</v>
      </c>
      <c r="G9" s="37">
        <v>0.90275531722103852</v>
      </c>
      <c r="H9" s="37">
        <v>0.92456308122655606</v>
      </c>
      <c r="I9" s="37">
        <v>0.92228541358341343</v>
      </c>
      <c r="J9" s="37">
        <v>0.92228541358341343</v>
      </c>
      <c r="K9" s="37">
        <v>0.92228541358341343</v>
      </c>
      <c r="L9" s="37">
        <v>0.92228541358341343</v>
      </c>
      <c r="M9" s="37">
        <v>0.92228541358341343</v>
      </c>
      <c r="N9" s="41"/>
      <c r="O9" s="107"/>
    </row>
    <row r="10" spans="1:134" ht="21" customHeight="1" thickBot="1" x14ac:dyDescent="0.25">
      <c r="A10" s="110"/>
      <c r="B10" s="111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3"/>
      <c r="O10" s="114"/>
    </row>
    <row r="11" spans="1:134" ht="21" customHeight="1" x14ac:dyDescent="0.2">
      <c r="D11" s="100"/>
    </row>
    <row r="12" spans="1:13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1:13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15"/>
      <c r="CL13" s="115"/>
      <c r="CM13" s="115"/>
      <c r="CN13" s="115"/>
      <c r="CO13" s="115"/>
      <c r="CP13" s="115"/>
      <c r="CQ13" s="115"/>
      <c r="CR13" s="115"/>
      <c r="CS13" s="115"/>
      <c r="CT13" s="115"/>
      <c r="CU13" s="115"/>
      <c r="CV13" s="115"/>
      <c r="CW13" s="115"/>
      <c r="CX13" s="115"/>
      <c r="CY13" s="115"/>
      <c r="CZ13" s="115"/>
      <c r="DA13" s="115"/>
      <c r="DB13" s="115"/>
      <c r="DC13" s="115"/>
      <c r="DD13" s="115"/>
      <c r="DE13" s="115"/>
      <c r="DF13" s="115"/>
      <c r="DG13" s="115"/>
      <c r="DH13" s="115"/>
      <c r="DI13" s="115"/>
      <c r="DJ13" s="115"/>
      <c r="DK13" s="115"/>
      <c r="DL13" s="115"/>
      <c r="DM13" s="115"/>
      <c r="DN13" s="115"/>
      <c r="DO13" s="115"/>
      <c r="DP13" s="115"/>
      <c r="DQ13" s="115"/>
      <c r="DR13" s="115"/>
      <c r="DS13" s="115"/>
      <c r="DT13" s="115"/>
      <c r="DU13" s="115"/>
      <c r="DV13" s="115"/>
      <c r="DW13" s="115"/>
      <c r="DX13" s="115"/>
      <c r="DY13" s="115"/>
      <c r="DZ13" s="115"/>
      <c r="EA13" s="115"/>
      <c r="EB13" s="115"/>
      <c r="EC13" s="115"/>
      <c r="ED13" s="115"/>
    </row>
    <row r="14" spans="1:13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1:13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1:13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0.80651318506282987</v>
      </c>
      <c r="G2" s="62">
        <f>Summary!$D$3</f>
        <v>0.84746186247561472</v>
      </c>
      <c r="H2" s="63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23" t="s">
        <v>22</v>
      </c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24416595021.269829</v>
      </c>
      <c r="I4" s="67">
        <f>Table36[[#This Row],[2024]]+(I2-H2)*100*$H$9</f>
        <v>24057893174.967743</v>
      </c>
      <c r="J4" s="67">
        <f>Table36[[#This Row],[2025]]+(J2-I2)*100*$H$9</f>
        <v>23695153665.986694</v>
      </c>
      <c r="K4" s="67">
        <f>Table36[[#This Row],[2026]]+(K2-J2)*100*$H$9</f>
        <v>26059777935.39024</v>
      </c>
      <c r="L4" s="67">
        <f>Table36[[#This Row],[2027]]+(L2-K2)*100*$H$9</f>
        <v>25812809553.613567</v>
      </c>
      <c r="M4" s="67">
        <f>Table36[[#This Row],[2028]]+(M2-L2)*100*$H$9</f>
        <v>25812809553.613567</v>
      </c>
      <c r="N4" s="67">
        <f>Table36[[#This Row],[2029]]+(N2-M2)*100*$H$9</f>
        <v>25812809553.613567</v>
      </c>
      <c r="O4" s="67">
        <f>Table36[[#This Row],[2030]]+(O2-N2)*100*$H$9</f>
        <v>25812809553.613567</v>
      </c>
      <c r="P4" s="67">
        <f>Table36[[#This Row],[2031]]+(P2-O2)*100*$H$9</f>
        <v>25812809553.613567</v>
      </c>
      <c r="Q4" s="79"/>
      <c r="W4" s="45"/>
      <c r="X4" s="125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27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28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23" t="s">
        <v>41</v>
      </c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45"/>
    </row>
    <row r="14" spans="2:38" x14ac:dyDescent="0.2">
      <c r="F14" s="77" t="s">
        <v>73</v>
      </c>
      <c r="G14" s="78" t="s">
        <v>74</v>
      </c>
      <c r="W14" s="45"/>
      <c r="X14" s="125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45"/>
    </row>
    <row r="15" spans="2:38" x14ac:dyDescent="0.2">
      <c r="W15" s="45"/>
      <c r="X15" s="127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28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19" t="s">
        <v>42</v>
      </c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56"/>
    </row>
    <row r="24" spans="23:38" ht="15" customHeight="1" x14ac:dyDescent="0.2">
      <c r="X24" s="121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56"/>
    </row>
    <row r="25" spans="23:38" ht="20.25" customHeight="1" x14ac:dyDescent="0.2">
      <c r="X25" s="117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18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19" t="s">
        <v>43</v>
      </c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56"/>
    </row>
    <row r="34" spans="24:38" ht="15" customHeight="1" x14ac:dyDescent="0.2">
      <c r="X34" s="121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56"/>
    </row>
    <row r="35" spans="24:38" ht="20.25" customHeight="1" x14ac:dyDescent="0.2">
      <c r="X35" s="117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18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0.80651318506282987</v>
      </c>
      <c r="G2" s="43">
        <f>Summary!$D$3</f>
        <v>0.84746186247561472</v>
      </c>
      <c r="H2" s="62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9645669240.2241859</v>
      </c>
      <c r="I8" s="82">
        <f>Table4[[#Totals],[2024]]+(I2-H2)*100*$I$11</f>
        <v>9511262168.7145729</v>
      </c>
      <c r="J8" s="82">
        <f>Table4[[#Totals],[2025]]+(J2-I2)*100*$I$11</f>
        <v>9375342168.2306099</v>
      </c>
      <c r="K8" s="82">
        <f>Table4[[#Totals],[2026]]+(K2-J2)*100*$I$11</f>
        <v>10261376702.336218</v>
      </c>
      <c r="L8" s="82">
        <f>Table4[[#Totals],[2027]]+(L2-K2)*100*$I$11</f>
        <v>10168836624.016922</v>
      </c>
      <c r="M8" s="82">
        <f>Table4[[#Totals],[2028]]+(M2-L2)*100*$I$11</f>
        <v>10168836624.016922</v>
      </c>
      <c r="N8" s="82">
        <f>Table4[[#Totals],[2029]]+(N2-M2)*100*$I$11</f>
        <v>10168836624.016922</v>
      </c>
      <c r="O8" s="82">
        <f>Table4[[#Totals],[2030]]+(O2-N2)*100*$I$11</f>
        <v>10168836624.016922</v>
      </c>
      <c r="P8" s="82">
        <f>Table4[[#Totals],[2031]]+(P2-O2)*100*$I$11</f>
        <v>10168836624.016922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2023-09-05T08:59:34Z</dcterms:modified>
</cp:coreProperties>
</file>