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16" documentId="8_{63EB4802-57AD-0F44-B5C6-2C4816D8263D}" xr6:coauthVersionLast="47" xr6:coauthVersionMax="47" xr10:uidLastSave="{2C5CA79C-D751-7D42-9F25-576BDE270322}"/>
  <bookViews>
    <workbookView xWindow="-20360" yWindow="-42700" windowWidth="38400" windowHeight="42700" activeTab="2" xr2:uid="{9DA9C85C-0230-484A-A9A5-3ABA148F8E1D}"/>
  </bookViews>
  <sheets>
    <sheet name="Summary" sheetId="1" r:id="rId1"/>
    <sheet name="TE Office" sheetId="7" r:id="rId2"/>
    <sheet name="TE Office Old" sheetId="11" r:id="rId3"/>
    <sheet name="IN OUT" sheetId="8" r:id="rId4"/>
    <sheet name="Ampera" sheetId="6" r:id="rId5"/>
    <sheet name="SH" sheetId="10" r:id="rId6"/>
    <sheet name="Dago" sheetId="9" r:id="rId7"/>
    <sheet name="Listrik" sheetId="2" r:id="rId8"/>
    <sheet name="IT" sheetId="3" r:id="rId9"/>
    <sheet name="Parkir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11" l="1"/>
  <c r="E36" i="11"/>
  <c r="F36" i="11"/>
  <c r="G36" i="11"/>
  <c r="H36" i="11"/>
  <c r="I36" i="11"/>
  <c r="J36" i="11"/>
  <c r="K36" i="11"/>
  <c r="L36" i="11"/>
  <c r="M36" i="11"/>
  <c r="D37" i="11"/>
  <c r="E37" i="11"/>
  <c r="F37" i="11"/>
  <c r="G37" i="11"/>
  <c r="H37" i="11"/>
  <c r="I37" i="11"/>
  <c r="J37" i="11"/>
  <c r="K37" i="11"/>
  <c r="L37" i="11"/>
  <c r="M37" i="11"/>
  <c r="D38" i="11"/>
  <c r="E38" i="11"/>
  <c r="F38" i="11"/>
  <c r="G38" i="11"/>
  <c r="H38" i="11"/>
  <c r="I38" i="11"/>
  <c r="J38" i="11"/>
  <c r="K38" i="11"/>
  <c r="L38" i="11"/>
  <c r="M38" i="11"/>
  <c r="D39" i="11"/>
  <c r="E39" i="11"/>
  <c r="F39" i="11"/>
  <c r="G39" i="11"/>
  <c r="H39" i="11"/>
  <c r="I39" i="11"/>
  <c r="J39" i="11"/>
  <c r="K39" i="11"/>
  <c r="L39" i="11"/>
  <c r="M39" i="11"/>
  <c r="D40" i="11"/>
  <c r="E40" i="11"/>
  <c r="F40" i="11"/>
  <c r="G40" i="11"/>
  <c r="H40" i="11"/>
  <c r="I40" i="11"/>
  <c r="J40" i="11"/>
  <c r="K40" i="11"/>
  <c r="L40" i="11"/>
  <c r="M40" i="11"/>
  <c r="D41" i="11"/>
  <c r="E41" i="11"/>
  <c r="F41" i="11"/>
  <c r="G41" i="11"/>
  <c r="H41" i="11"/>
  <c r="I41" i="11"/>
  <c r="J41" i="11"/>
  <c r="K41" i="11"/>
  <c r="L41" i="11"/>
  <c r="M41" i="11"/>
  <c r="C37" i="11"/>
  <c r="C38" i="11"/>
  <c r="C39" i="11"/>
  <c r="C40" i="11"/>
  <c r="C41" i="11"/>
  <c r="C36" i="11"/>
  <c r="D4" i="6"/>
  <c r="E4" i="6"/>
  <c r="C4" i="6"/>
  <c r="C9" i="6"/>
  <c r="C16" i="6"/>
  <c r="C12" i="6"/>
  <c r="K10" i="3" l="1"/>
  <c r="H9" i="10" l="1"/>
  <c r="I9" i="10" s="1"/>
  <c r="F9" i="10"/>
  <c r="C33" i="1" s="1"/>
  <c r="H4" i="10"/>
  <c r="I4" i="10" s="1"/>
  <c r="J4" i="10" s="1"/>
  <c r="F4" i="10"/>
  <c r="D33" i="1"/>
  <c r="E33" i="1"/>
  <c r="D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E18" i="1" l="1"/>
  <c r="J9" i="10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H12" i="3"/>
  <c r="I12" i="3"/>
  <c r="J12" i="3"/>
  <c r="G12" i="3"/>
  <c r="H9" i="2"/>
  <c r="G9" i="2" a="1"/>
  <c r="G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M10" i="3" l="1"/>
  <c r="I31" i="1"/>
  <c r="K33" i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C16" i="1"/>
  <c r="F10" i="3"/>
  <c r="C13" i="6"/>
  <c r="F4" i="6" s="1"/>
  <c r="C17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N10" i="3" l="1"/>
  <c r="J31" i="1"/>
  <c r="L33" i="1"/>
  <c r="P9" i="10"/>
  <c r="M33" i="1" s="1"/>
  <c r="P4" i="10"/>
  <c r="M18" i="1" s="1"/>
  <c r="L18" i="1"/>
  <c r="I35" i="1"/>
  <c r="I20" i="1"/>
  <c r="F35" i="1"/>
  <c r="F20" i="1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O10" i="3" l="1"/>
  <c r="K31" i="1"/>
  <c r="K16" i="1"/>
  <c r="M35" i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P10" i="3" l="1"/>
  <c r="L31" i="1"/>
  <c r="L16" i="1"/>
  <c r="F17" i="1"/>
  <c r="J8" i="4"/>
  <c r="G32" i="1" s="1"/>
  <c r="J4" i="2"/>
  <c r="G30" i="1" s="1" a="1"/>
  <c r="G30" i="1" s="1"/>
  <c r="F15" i="1" a="1"/>
  <c r="F15" i="1" s="1"/>
  <c r="M31" i="1" l="1"/>
  <c r="M16" i="1"/>
  <c r="K8" i="4"/>
  <c r="H32" i="1" s="1"/>
  <c r="K4" i="2"/>
  <c r="H30" i="1" s="1" a="1"/>
  <c r="H30" i="1" s="1"/>
  <c r="G17" i="1"/>
  <c r="G15" i="1" a="1"/>
  <c r="G15" i="1" s="1"/>
  <c r="H15" i="1" a="1"/>
  <c r="H15" i="1" s="1"/>
  <c r="L8" i="4"/>
  <c r="I32" i="1" s="1"/>
  <c r="H17" i="1"/>
  <c r="L4" i="2" l="1"/>
  <c r="I30" i="1" s="1" a="1"/>
  <c r="I30" i="1" s="1"/>
  <c r="M8" i="4"/>
  <c r="J32" i="1" s="1"/>
  <c r="I17" i="1"/>
  <c r="I15" i="1" l="1" a="1"/>
  <c r="I15" i="1" s="1"/>
  <c r="M4" i="2"/>
  <c r="J30" i="1" s="1" a="1"/>
  <c r="J30" i="1" s="1"/>
  <c r="N8" i="4"/>
  <c r="K32" i="1" s="1"/>
  <c r="J17" i="1"/>
  <c r="N4" i="2" l="1"/>
  <c r="K30" i="1" s="1" a="1"/>
  <c r="K30" i="1" s="1"/>
  <c r="J15" i="1" a="1"/>
  <c r="J15" i="1" s="1"/>
  <c r="O8" i="4"/>
  <c r="L32" i="1" s="1"/>
  <c r="K17" i="1"/>
  <c r="K15" i="1" l="1" a="1"/>
  <c r="K15" i="1" s="1"/>
  <c r="O4" i="2"/>
  <c r="L30" i="1" s="1" a="1"/>
  <c r="L30" i="1" s="1"/>
  <c r="P8" i="4"/>
  <c r="L17" i="1"/>
  <c r="L15" i="1" l="1" a="1"/>
  <c r="L15" i="1" s="1"/>
  <c r="P4" i="2"/>
  <c r="M17" i="1"/>
  <c r="M32" i="1"/>
  <c r="M15" i="1" a="1"/>
  <c r="M15" i="1" s="1"/>
  <c r="M30" i="1" a="1"/>
  <c r="M30" i="1" s="1"/>
  <c r="G4" i="9"/>
  <c r="H4" i="9" l="1"/>
  <c r="D37" i="1"/>
  <c r="D38" i="1" s="1"/>
  <c r="D39" i="1" s="1"/>
  <c r="D22" i="1"/>
  <c r="D23" i="1" s="1"/>
  <c r="D24" i="1" s="1"/>
  <c r="I4" i="9" l="1"/>
  <c r="E22" i="1"/>
  <c r="E23" i="1" s="1"/>
  <c r="E24" i="1" s="1"/>
  <c r="E37" i="1"/>
  <c r="E38" i="1" s="1"/>
  <c r="E39" i="1" s="1"/>
  <c r="J4" i="9" l="1"/>
  <c r="F37" i="1"/>
  <c r="F38" i="1" s="1"/>
  <c r="F39" i="1" s="1"/>
  <c r="F22" i="1"/>
  <c r="F23" i="1" s="1"/>
  <c r="F24" i="1" s="1"/>
  <c r="K4" i="9" l="1"/>
  <c r="G37" i="1"/>
  <c r="G38" i="1" s="1"/>
  <c r="G39" i="1" s="1"/>
  <c r="G22" i="1"/>
  <c r="G23" i="1" s="1"/>
  <c r="G24" i="1" s="1"/>
  <c r="L4" i="9" l="1"/>
  <c r="H22" i="1"/>
  <c r="H23" i="1" s="1"/>
  <c r="H24" i="1" s="1"/>
  <c r="H37" i="1"/>
  <c r="H38" i="1" s="1"/>
  <c r="H39" i="1" s="1"/>
  <c r="M4" i="9" l="1"/>
  <c r="I37" i="1"/>
  <c r="I38" i="1" s="1"/>
  <c r="I39" i="1" s="1"/>
  <c r="I22" i="1"/>
  <c r="I23" i="1" s="1"/>
  <c r="I24" i="1" s="1"/>
  <c r="N4" i="9" l="1"/>
  <c r="J37" i="1"/>
  <c r="J38" i="1" s="1"/>
  <c r="J39" i="1" s="1"/>
  <c r="J22" i="1"/>
  <c r="J23" i="1" s="1"/>
  <c r="J24" i="1" s="1"/>
  <c r="O4" i="9" l="1"/>
  <c r="K37" i="1"/>
  <c r="K38" i="1" s="1"/>
  <c r="K39" i="1" s="1"/>
  <c r="K22" i="1"/>
  <c r="K23" i="1" s="1"/>
  <c r="K24" i="1" s="1"/>
  <c r="P4" i="9" l="1"/>
  <c r="L37" i="1"/>
  <c r="L38" i="1" s="1"/>
  <c r="L39" i="1" s="1"/>
  <c r="L22" i="1"/>
  <c r="L23" i="1" s="1"/>
  <c r="L24" i="1" s="1"/>
  <c r="M37" i="1" l="1"/>
  <c r="M38" i="1" s="1"/>
  <c r="M39" i="1" s="1"/>
  <c r="M22" i="1"/>
  <c r="M23" i="1" s="1"/>
  <c r="M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<sst xmlns="http://schemas.openxmlformats.org/spreadsheetml/2006/main" count="395" uniqueCount="116">
  <si>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</si>
  <si>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</si>
  <si>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</si>
  <si>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</si>
  <si>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</si>
  <si>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</si>
  <si>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</si>
  <si>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</si>
  <si>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</si>
  <si>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</si>
  <si>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</si>
  <si>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</si>
  <si>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</si>
  <si>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</si>
  <si>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</si>
  <si>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</si>
  <si>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</si>
  <si>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</si>
  <si>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</si>
  <si>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</si>
  <si>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</si>
  <si>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</si>
  <si>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</si>
  <si>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</si>
  <si>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</si>
  <si>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</si>
  <si>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</si>
  <si>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</si>
  <si>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</si>
  <si>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</si>
  <si>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</si>
  <si>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</si>
  <si>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</si>
  <si>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</si>
  <si>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</si>
  <si>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</si>
  <si>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</si>
  <si>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</si>
  <si>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</si>
  <si>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</si>
  <si>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</si>
  <si>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</si>
  <si>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</si>
  <si>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</si>
  <si>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</si>
  <si>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</si>
  <si>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</si>
  <si>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</si>
  <si>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</si>
  <si>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</si>
  <si>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</si>
  <si>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</si>
  <si>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</si>
  <si>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</si>
  <si>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</si>
  <si>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</si>
  <si>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</si>
  <si>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</si>
  <si>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</si>
  <si>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</si>
  <si>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</si>
  <si>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</si>
  <si>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</si>
  <si>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</si>
  <si>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</si>
  <si>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</si>
  <si>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</si>
  <si>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</si>
  <si>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</si>
  <si>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</si>
  <si>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</si>
  <si>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</si>
  <si>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</si>
  <si>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</si>
  <si>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</si>
  <si>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</si>
  <si>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</si>
  <si>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</si>
  <si>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</si>
  <si>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</si>
  <si>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Corridor (31)</t>
  </si>
  <si>
    <t>Corridor (23)</t>
  </si>
  <si>
    <t>Corridor (21)</t>
  </si>
  <si>
    <t>Line (17) extend</t>
  </si>
  <si>
    <t>Ginting (15) extend</t>
  </si>
  <si>
    <t>Anugrah (10) extend</t>
  </si>
  <si>
    <t>New Tenant (10EF)</t>
  </si>
  <si>
    <t>Samsung (26BC) extend</t>
  </si>
  <si>
    <t>Macmahon (25CD) expand</t>
  </si>
  <si>
    <t>Raiz (10A) extend</t>
  </si>
  <si>
    <t>New Tenant (10G)</t>
  </si>
  <si>
    <t>Job Simenggaris (26D) extend</t>
  </si>
  <si>
    <t>New Tenant (25B)</t>
  </si>
  <si>
    <t>Sritex (20BCD) extend</t>
  </si>
  <si>
    <t>JPM (5/6) extend</t>
  </si>
  <si>
    <t>MEPI (32ABF) expand</t>
  </si>
  <si>
    <t>New Tenant (11)</t>
  </si>
  <si>
    <t>JOB Simenggaris (26BC) expand</t>
  </si>
  <si>
    <t>Korea Agro (20F)</t>
  </si>
  <si>
    <t>ADPMET (9B)</t>
  </si>
  <si>
    <t>Samsung (26BC)</t>
  </si>
  <si>
    <t>OUT</t>
  </si>
  <si>
    <t>IN/EXTEND/EXPAND</t>
  </si>
  <si>
    <t>Sritex (20BCD)</t>
  </si>
  <si>
    <t>Astra Nawa (27AB) extend</t>
  </si>
  <si>
    <t>Astra Nawa (27AB)</t>
  </si>
  <si>
    <t>Thunderbird (9C) extend</t>
  </si>
  <si>
    <t>MPI (9ADEFG) expand</t>
  </si>
  <si>
    <t>INALUM (19) extend</t>
  </si>
  <si>
    <t>MinID (16) extend</t>
  </si>
  <si>
    <t>MindID (16)</t>
  </si>
  <si>
    <t>The Energy (1)</t>
  </si>
  <si>
    <t>The Energy (2)</t>
  </si>
  <si>
    <t>Dago Condotel</t>
  </si>
  <si>
    <t>SC Medco (per tahun)</t>
  </si>
  <si>
    <t>Before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</si>
</sst>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11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16" fillId="0" borderId="0" xfId="0" applyFont="1"/>
    <xf numFmtId="0" fontId="3" fillId="9" borderId="28" xfId="0" applyFont="1" applyFill="1" applyBorder="1"/>
    <xf numFmtId="0" fontId="0" fillId="0" borderId="29" xfId="0" applyBorder="1"/>
    <xf numFmtId="0" fontId="17" fillId="0" borderId="29" xfId="0" applyFont="1" applyBorder="1"/>
    <xf numFmtId="0" fontId="3" fillId="9" borderId="29" xfId="0" applyFont="1" applyFill="1" applyBorder="1"/>
    <xf numFmtId="0" fontId="0" fillId="0" borderId="30" xfId="0" applyBorder="1"/>
    <xf numFmtId="0" fontId="15" fillId="0" borderId="29" xfId="0" applyFont="1" applyBorder="1"/>
    <xf numFmtId="0" fontId="15" fillId="0" borderId="30" xfId="0" applyFont="1" applyBorder="1"/>
    <xf numFmtId="0" fontId="3" fillId="9" borderId="29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164" fontId="17" fillId="0" borderId="0" xfId="1" applyNumberFormat="1" applyFont="1" applyAlignment="1">
      <alignment vertical="center"/>
    </xf>
    <xf numFmtId="164" fontId="18" fillId="0" borderId="0" xfId="1" applyNumberFormat="1" applyFont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67" fontId="0" fillId="0" borderId="0" xfId="0" applyNumberFormat="1" applyAlignment="1">
      <alignment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286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318400736080.66931</c:v>
                </c:pt>
                <c:pt idx="1">
                  <c:v>333537651678.32971</c:v>
                </c:pt>
                <c:pt idx="2">
                  <c:v>359479028385.64252</c:v>
                </c:pt>
                <c:pt idx="3">
                  <c:v>362952311488.48706</c:v>
                </c:pt>
                <c:pt idx="4">
                  <c:v>365108783183.58191</c:v>
                </c:pt>
                <c:pt idx="5">
                  <c:v>378482319217.88757</c:v>
                </c:pt>
                <c:pt idx="6">
                  <c:v>379942340334.99603</c:v>
                </c:pt>
                <c:pt idx="7">
                  <c:v>381042340334.99603</c:v>
                </c:pt>
                <c:pt idx="8">
                  <c:v>383336462834.65173</c:v>
                </c:pt>
                <c:pt idx="9">
                  <c:v>384334503667.87024</c:v>
                </c:pt>
                <c:pt idx="10">
                  <c:v>384934503667.87024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318004246480.66931</c:v>
                </c:pt>
                <c:pt idx="1">
                  <c:v>323660894070.00977</c:v>
                </c:pt>
                <c:pt idx="2">
                  <c:v>347333144031.66998</c:v>
                </c:pt>
                <c:pt idx="3">
                  <c:v>349746289422.0296</c:v>
                </c:pt>
                <c:pt idx="4">
                  <c:v>350484359077.12445</c:v>
                </c:pt>
                <c:pt idx="5">
                  <c:v>349711461383.9754</c:v>
                </c:pt>
                <c:pt idx="6">
                  <c:v>351150099532.67609</c:v>
                </c:pt>
                <c:pt idx="7">
                  <c:v>352250099532.67609</c:v>
                </c:pt>
                <c:pt idx="8">
                  <c:v>354342806082.33173</c:v>
                </c:pt>
                <c:pt idx="9">
                  <c:v>355273708265.55023</c:v>
                </c:pt>
                <c:pt idx="10">
                  <c:v>355873708265.55023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Office'!$C$9:$M$9</c:f>
              <c:numCache>
                <c:formatCode>0.00%</c:formatCode>
                <c:ptCount val="11"/>
                <c:pt idx="0">
                  <c:v>0.80648025591983208</c:v>
                </c:pt>
                <c:pt idx="1">
                  <c:v>0.84027360892539138</c:v>
                </c:pt>
                <c:pt idx="2">
                  <c:v>0.89843040357971071</c:v>
                </c:pt>
                <c:pt idx="3">
                  <c:v>0.89943787070972747</c:v>
                </c:pt>
                <c:pt idx="4">
                  <c:v>0.89947903213847469</c:v>
                </c:pt>
                <c:pt idx="5">
                  <c:v>0.92448668561480107</c:v>
                </c:pt>
                <c:pt idx="6">
                  <c:v>0.92220901797165855</c:v>
                </c:pt>
                <c:pt idx="7">
                  <c:v>0.92220901797165855</c:v>
                </c:pt>
                <c:pt idx="8">
                  <c:v>0.92220901797165855</c:v>
                </c:pt>
                <c:pt idx="9">
                  <c:v>0.92220901797165855</c:v>
                </c:pt>
                <c:pt idx="10">
                  <c:v>0.92220901797165855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Office'!$C$18:$M$18</c:f>
              <c:numCache>
                <c:formatCode>0.00%</c:formatCode>
                <c:ptCount val="11"/>
                <c:pt idx="0">
                  <c:v>0.80525498994983757</c:v>
                </c:pt>
                <c:pt idx="1">
                  <c:v>0.80985763184168136</c:v>
                </c:pt>
                <c:pt idx="2">
                  <c:v>0.86385627153958866</c:v>
                </c:pt>
                <c:pt idx="3">
                  <c:v>0.86259294496847894</c:v>
                </c:pt>
                <c:pt idx="4">
                  <c:v>0.86038191766189331</c:v>
                </c:pt>
                <c:pt idx="5">
                  <c:v>0.84411497590289675</c:v>
                </c:pt>
                <c:pt idx="6">
                  <c:v>0.84176328627380548</c:v>
                </c:pt>
                <c:pt idx="7">
                  <c:v>0.84175505398805606</c:v>
                </c:pt>
                <c:pt idx="8">
                  <c:v>0.84175505398805606</c:v>
                </c:pt>
                <c:pt idx="9">
                  <c:v>0.84175505398805606</c:v>
                </c:pt>
                <c:pt idx="10">
                  <c:v>0.84175505398805606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ser>
          <c:idx val="2"/>
          <c:order val="2"/>
          <c:tx>
            <c:v>1 original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 Office Old'!$C$9:$M$9</c:f>
              <c:numCache>
                <c:formatCode>0.00%</c:formatCode>
                <c:ptCount val="11"/>
                <c:pt idx="0">
                  <c:v>0.80649672049133092</c:v>
                </c:pt>
                <c:pt idx="1">
                  <c:v>0.84029007349689022</c:v>
                </c:pt>
                <c:pt idx="2">
                  <c:v>0.90223684786453839</c:v>
                </c:pt>
                <c:pt idx="3">
                  <c:v>0.90450764156566521</c:v>
                </c:pt>
                <c:pt idx="4">
                  <c:v>0.90454880299441243</c:v>
                </c:pt>
                <c:pt idx="5">
                  <c:v>0.92955645647073892</c:v>
                </c:pt>
                <c:pt idx="6">
                  <c:v>0.92727878882759629</c:v>
                </c:pt>
                <c:pt idx="7">
                  <c:v>0.92727878882759629</c:v>
                </c:pt>
                <c:pt idx="8">
                  <c:v>0.92727878882759629</c:v>
                </c:pt>
                <c:pt idx="9">
                  <c:v>0.92727878882759629</c:v>
                </c:pt>
                <c:pt idx="10">
                  <c:v>0.92727878882759629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F-9D44-A93F-5B70C9A5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Office'!$C$7:$M$7</c:f>
              <c:numCache>
                <c:formatCode>0,00#</c:formatCode>
                <c:ptCount val="11"/>
                <c:pt idx="0">
                  <c:v>248951980320.72696</c:v>
                </c:pt>
                <c:pt idx="1">
                  <c:v>257601884350.43256</c:v>
                </c:pt>
                <c:pt idx="2">
                  <c:v>276123610963.60236</c:v>
                </c:pt>
                <c:pt idx="3">
                  <c:v>276479683539.30579</c:v>
                </c:pt>
                <c:pt idx="4">
                  <c:v>275719836739.30579</c:v>
                </c:pt>
                <c:pt idx="5">
                  <c:v>285149141506.41614</c:v>
                </c:pt>
                <c:pt idx="6">
                  <c:v>284722672448.04254</c:v>
                </c:pt>
                <c:pt idx="7">
                  <c:v>284722672448.04254</c:v>
                </c:pt>
                <c:pt idx="8">
                  <c:v>285916794947.69824</c:v>
                </c:pt>
                <c:pt idx="9">
                  <c:v>286314835780.91675</c:v>
                </c:pt>
                <c:pt idx="10">
                  <c:v>286314835780.91675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Office'!$C$16:$M$16</c:f>
              <c:numCache>
                <c:formatCode>0,00#</c:formatCode>
                <c:ptCount val="11"/>
                <c:pt idx="0">
                  <c:v>248555490720.72696</c:v>
                </c:pt>
                <c:pt idx="1">
                  <c:v>247725126742.11261</c:v>
                </c:pt>
                <c:pt idx="2">
                  <c:v>264727726609.62979</c:v>
                </c:pt>
                <c:pt idx="3">
                  <c:v>264273661472.84836</c:v>
                </c:pt>
                <c:pt idx="4">
                  <c:v>262845412632.84836</c:v>
                </c:pt>
                <c:pt idx="5">
                  <c:v>258128283672.504</c:v>
                </c:pt>
                <c:pt idx="6">
                  <c:v>257680431645.72256</c:v>
                </c:pt>
                <c:pt idx="7">
                  <c:v>257680431645.72256</c:v>
                </c:pt>
                <c:pt idx="8">
                  <c:v>258673138195.3782</c:v>
                </c:pt>
                <c:pt idx="9">
                  <c:v>259004040378.59674</c:v>
                </c:pt>
                <c:pt idx="10">
                  <c:v>259004040378.59674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0E0986-5351-F041-AB91-DBB9628D4424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C36A4F-D305-9C4B-90B4-E21F843D618F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</xdr:col>
      <xdr:colOff>180731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43C66-7B01-034F-88F7-7188338F9A46}"/>
            </a:ext>
          </a:extLst>
        </xdr:cNvPr>
        <xdr:cNvSpPr txBox="1"/>
      </xdr:nvSpPr>
      <xdr:spPr>
        <a:xfrm rot="16200000">
          <a:off x="255466" y="989134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  <a:p>
          <a:pPr algn="ctr"/>
          <a:r>
            <a:rPr lang="en-US" sz="1100" b="1">
              <a:latin typeface="Helvetica" pitchFamily="2" charset="0"/>
            </a:rPr>
            <a:t>ORIGINAL</a:t>
          </a:r>
        </a:p>
      </xdr:txBody>
    </xdr:sp>
    <xdr:clientData/>
  </xdr:twoCellAnchor>
  <xdr:twoCellAnchor>
    <xdr:from>
      <xdr:col>0</xdr:col>
      <xdr:colOff>542736</xdr:colOff>
      <xdr:row>18</xdr:row>
      <xdr:rowOff>238803</xdr:rowOff>
    </xdr:from>
    <xdr:to>
      <xdr:col>1</xdr:col>
      <xdr:colOff>151967</xdr:colOff>
      <xdr:row>22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B45B-5A48-FB4B-8DFC-69D75086FDC8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27</xdr:row>
      <xdr:rowOff>238803</xdr:rowOff>
    </xdr:from>
    <xdr:to>
      <xdr:col>1</xdr:col>
      <xdr:colOff>151967</xdr:colOff>
      <xdr:row>31</xdr:row>
      <xdr:rowOff>238803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C5115C-764A-8A4B-8ECA-C495FFADBF63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6</xdr:row>
      <xdr:rowOff>12700</xdr:rowOff>
    </xdr:from>
    <xdr:to>
      <xdr:col>1</xdr:col>
      <xdr:colOff>154788</xdr:colOff>
      <xdr:row>11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683C4-3222-754D-B66F-AF7A13E5837D}"/>
            </a:ext>
          </a:extLst>
        </xdr:cNvPr>
        <xdr:cNvSpPr txBox="1"/>
      </xdr:nvSpPr>
      <xdr:spPr>
        <a:xfrm rot="16200000">
          <a:off x="220459" y="1595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546100</xdr:colOff>
      <xdr:row>28</xdr:row>
      <xdr:rowOff>18670</xdr:rowOff>
    </xdr:from>
    <xdr:to>
      <xdr:col>1</xdr:col>
      <xdr:colOff>154788</xdr:colOff>
      <xdr:row>33</xdr:row>
      <xdr:rowOff>88140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4FC1C-12DF-7540-BBB9-363BAF095A33}"/>
            </a:ext>
          </a:extLst>
        </xdr:cNvPr>
        <xdr:cNvSpPr txBox="1"/>
      </xdr:nvSpPr>
      <xdr:spPr>
        <a:xfrm rot="16200000">
          <a:off x="220459" y="60720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85" dataDxfId="284" totalsRowDxfId="283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82" totalsRowDxfId="281"/>
    <tableColumn id="12" xr3:uid="{85475C21-3329-2B45-8444-CA94C08A4946}" name="2022" totalsRowFunction="sum" dataDxfId="280" totalsRowDxfId="279" dataCellStyle="Comma"/>
    <tableColumn id="2" xr3:uid="{39720F4C-EDD5-7B48-9B96-FD9488CF7B6F}" name="2023" totalsRowFunction="sum" dataDxfId="278" totalsRowDxfId="277" dataCellStyle="Comma"/>
    <tableColumn id="3" xr3:uid="{0994F7B4-B62D-534F-9417-0249F38ADE67}" name="2024" totalsRowFunction="sum" dataDxfId="276" totalsRowDxfId="275" dataCellStyle="Comma"/>
    <tableColumn id="4" xr3:uid="{BF5E00BE-9F6A-514F-89E9-FCB3BA9FBE7E}" name="2025" totalsRowFunction="sum" dataDxfId="274" totalsRowDxfId="273" dataCellStyle="Comma"/>
    <tableColumn id="5" xr3:uid="{558C3BB7-E01B-4041-A52C-470E15F68511}" name="2026" totalsRowFunction="sum" dataDxfId="272" totalsRowDxfId="271" dataCellStyle="Comma"/>
    <tableColumn id="6" xr3:uid="{F85D5229-9BC7-6441-95EE-D5D053C638B7}" name="2027" totalsRowFunction="sum" dataDxfId="270" totalsRowDxfId="269" dataCellStyle="Comma"/>
    <tableColumn id="7" xr3:uid="{0358E158-5480-1945-AEC6-9C9BE0041972}" name="2028" totalsRowFunction="sum" dataDxfId="268" totalsRowDxfId="267" dataCellStyle="Comma"/>
    <tableColumn id="8" xr3:uid="{AD2569E3-CD58-DB43-9407-E9740AD84292}" name="2029" totalsRowFunction="sum" dataDxfId="266" totalsRowDxfId="265" dataCellStyle="Comma"/>
    <tableColumn id="9" xr3:uid="{7561F271-4CC3-5147-8982-B20E91E439A9}" name="2030" totalsRowFunction="sum" dataDxfId="264" totalsRowDxfId="263" dataCellStyle="Comma"/>
    <tableColumn id="10" xr3:uid="{BECB626F-1389-A74E-BD36-D45CF00BA3A5}" name="2031" totalsRowFunction="sum" dataDxfId="262" totalsRowDxfId="261" dataCellStyle="Comma"/>
    <tableColumn id="11" xr3:uid="{B473C967-9544-AA40-854E-CE88ACD5AB6C}" name="2032" totalsRowFunction="sum" dataDxfId="260" totalsRowDxfId="259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58" tableBorderDxfId="257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56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55" dataDxfId="254" totalsRowDxfId="253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252" totalsRowDxfId="251"/>
    <tableColumn id="12" xr3:uid="{D2689BC0-FE51-1C4F-BEFD-AB4DACE89943}" name="2022" totalsRowFunction="sum" dataDxfId="250" totalsRowDxfId="249" dataCellStyle="Comma"/>
    <tableColumn id="2" xr3:uid="{6A567BA1-6DE6-8348-8535-A146D583581C}" name="2023" totalsRowFunction="sum" dataDxfId="248" totalsRowDxfId="247" dataCellStyle="Comma"/>
    <tableColumn id="3" xr3:uid="{40543FAE-4431-7141-91FF-6CA497E19814}" name="2024" totalsRowFunction="sum" dataDxfId="246" totalsRowDxfId="245" dataCellStyle="Comma"/>
    <tableColumn id="4" xr3:uid="{5F9F5E8A-DEB0-1240-8A75-FA8B64F35675}" name="2025" totalsRowFunction="sum" dataDxfId="244" totalsRowDxfId="243" dataCellStyle="Comma"/>
    <tableColumn id="5" xr3:uid="{376D47ED-3CE1-6040-9561-9EFFF63DE629}" name="2026" totalsRowFunction="sum" dataDxfId="242" totalsRowDxfId="241" dataCellStyle="Comma"/>
    <tableColumn id="6" xr3:uid="{5902029A-D689-CB43-9DD3-888C62F95D64}" name="2027" totalsRowFunction="sum" dataDxfId="240" totalsRowDxfId="239" dataCellStyle="Comma"/>
    <tableColumn id="7" xr3:uid="{DEFF5695-DFAA-0C42-B996-7914A6534765}" name="2028" totalsRowFunction="sum" dataDxfId="238" totalsRowDxfId="237" dataCellStyle="Comma"/>
    <tableColumn id="8" xr3:uid="{DA964F6B-FAD7-074D-AFFE-A731AC6A5ADF}" name="2029" totalsRowFunction="sum" dataDxfId="236" totalsRowDxfId="235" dataCellStyle="Comma"/>
    <tableColumn id="9" xr3:uid="{8011E7A7-6FB4-1344-B606-557A75FC6E3E}" name="2030" totalsRowFunction="sum" dataDxfId="234" totalsRowDxfId="233" dataCellStyle="Comma"/>
    <tableColumn id="10" xr3:uid="{9EF28CD6-825D-E24F-8E30-EFD6674D59E1}" name="2031" totalsRowFunction="sum" dataDxfId="232" totalsRowDxfId="231" dataCellStyle="Comma"/>
    <tableColumn id="11" xr3:uid="{30CA743D-2942-4544-9A3E-BC18F898D37D}" name="2032" totalsRowFunction="sum" dataDxfId="230" totalsRowDxfId="229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28" dataDxfId="227" totalsRowDxfId="22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25"/>
    <tableColumn id="2" xr3:uid="{2B1CCD52-0B57-AE43-9C86-45DD61C25858}" name="2019" totalsRowFunction="sum" dataDxfId="224" dataCellStyle="Comma">
      <calculatedColumnFormula>$C$13</calculatedColumnFormula>
    </tableColumn>
    <tableColumn id="3" xr3:uid="{B3959DCD-8B88-6743-B7BD-90FB273FDD75}" name="2020" totalsRowFunction="sum" dataDxfId="223" totalsRowDxfId="222" dataCellStyle="Comma">
      <calculatedColumnFormula>$C$13</calculatedColumnFormula>
    </tableColumn>
    <tableColumn id="4" xr3:uid="{5C2B67C1-E6FB-C342-8D11-D84155D57722}" name="2021" totalsRowFunction="sum" dataDxfId="221" totalsRowDxfId="220" dataCellStyle="Comma">
      <calculatedColumnFormula>$C$13</calculatedColumnFormula>
    </tableColumn>
    <tableColumn id="5" xr3:uid="{BD4B3AD5-EF20-2E41-AAE9-C449FBE6EBED}" name="2022" totalsRowFunction="sum" dataDxfId="219" totalsRowDxfId="218" dataCellStyle="Comma">
      <calculatedColumnFormula>$C$13</calculatedColumnFormula>
    </tableColumn>
    <tableColumn id="6" xr3:uid="{0BCB1F53-3AFA-9248-B92C-FD192EA39765}" name="2023" totalsRowFunction="sum" dataDxfId="217" dataCellStyle="Comma">
      <calculatedColumnFormula>$C$17</calculatedColumnFormula>
    </tableColumn>
    <tableColumn id="7" xr3:uid="{619BD53B-7FEB-E244-8BE1-662D18A71EC8}" name="2024" dataDxfId="216" totalsRowDxfId="215" dataCellStyle="Comma">
      <calculatedColumnFormula>$C$17</calculatedColumnFormula>
    </tableColumn>
    <tableColumn id="8" xr3:uid="{C2DAE3E4-F421-2646-9C3B-D49B961BFAE8}" name="2025" dataDxfId="214" totalsRowDxfId="213" dataCellStyle="Comma">
      <calculatedColumnFormula>$C$17</calculatedColumnFormula>
    </tableColumn>
    <tableColumn id="9" xr3:uid="{86937C3C-E018-DD45-AC99-F0436F21D37E}" name="2026" dataDxfId="212" totalsRowDxfId="211" dataCellStyle="Comma">
      <calculatedColumnFormula>$C$17</calculatedColumnFormula>
    </tableColumn>
    <tableColumn id="10" xr3:uid="{0ED2701F-7272-7F4F-BDAC-5A0B36F34735}" name="2027" dataDxfId="210" totalsRowDxfId="209" dataCellStyle="Comma">
      <calculatedColumnFormula>$C$17</calculatedColumnFormula>
    </tableColumn>
    <tableColumn id="11" xr3:uid="{924953E8-0B08-084C-88A4-2E9D4ED12687}" name="2028" dataDxfId="208" totalsRowDxfId="207" dataCellStyle="Comma">
      <calculatedColumnFormula>$C$17</calculatedColumnFormula>
    </tableColumn>
    <tableColumn id="12" xr3:uid="{CEC3F315-2D2D-2E49-86D2-AC75553FF7CC}" name="2029" dataDxfId="206" totalsRowDxfId="205" dataCellStyle="Comma">
      <calculatedColumnFormula>$C$17</calculatedColumnFormula>
    </tableColumn>
    <tableColumn id="13" xr3:uid="{3E32D8D0-438C-544C-AE07-B7766903BA6C}" name="2030" dataDxfId="204" totalsRowDxfId="203" dataCellStyle="Comma">
      <calculatedColumnFormula>$C$17</calculatedColumnFormula>
    </tableColumn>
    <tableColumn id="14" xr3:uid="{253B6EAB-1714-D944-9EC6-E76956CEEA2E}" name="2031" dataDxfId="202" totalsRowDxfId="201" dataCellStyle="Comma">
      <calculatedColumnFormula>$C$17</calculatedColumnFormula>
    </tableColumn>
    <tableColumn id="15" xr3:uid="{5944E335-1D68-4F4D-9F09-0FF522318C19}" name="2032" dataDxfId="200" totalsRowDxfId="199" dataCellStyle="Comma">
      <calculatedColumnFormula>$C$17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198" dataDxfId="197" totalsRowDxfId="19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195"/>
    <tableColumn id="2" xr3:uid="{968525AF-9A75-2E44-BD06-AB6B9951BB35}" name="2019" totalsRowFunction="sum" dataDxfId="194" totalsRowDxfId="193" dataCellStyle="Comma">
      <calculatedColumnFormula>#REF!</calculatedColumnFormula>
    </tableColumn>
    <tableColumn id="3" xr3:uid="{77B1E53B-BEFB-A94B-B3A4-961E7F2EDB56}" name="2020" totalsRowFunction="sum" dataDxfId="192" totalsRowDxfId="191" dataCellStyle="Comma">
      <calculatedColumnFormula>#REF!</calculatedColumnFormula>
    </tableColumn>
    <tableColumn id="4" xr3:uid="{96632A6A-B9AD-F349-B2A8-AF5BB8455E0D}" name="2021" totalsRowFunction="sum" dataDxfId="190" totalsRowDxfId="189" dataCellStyle="Comma">
      <calculatedColumnFormula>#REF!</calculatedColumnFormula>
    </tableColumn>
    <tableColumn id="5" xr3:uid="{FF7AB7B8-0072-BC40-AF54-9293570E7C76}" name="2022" totalsRowFunction="sum" dataDxfId="188" totalsRowDxfId="187" dataCellStyle="Comma">
      <calculatedColumnFormula>#REF!</calculatedColumnFormula>
    </tableColumn>
    <tableColumn id="6" xr3:uid="{5DD61822-2AB9-3149-BF22-B919056AABCB}" name="2023" totalsRowFunction="sum" dataDxfId="186" dataCellStyle="Comma">
      <calculatedColumnFormula>#REF!</calculatedColumnFormula>
    </tableColumn>
    <tableColumn id="7" xr3:uid="{3773122B-9B13-084F-B2AF-167F2BD53E5E}" name="2024" dataDxfId="185" totalsRowDxfId="184" dataCellStyle="Comma">
      <calculatedColumnFormula>#REF!</calculatedColumnFormula>
    </tableColumn>
    <tableColumn id="8" xr3:uid="{E69D5601-AC96-A14E-920B-763C0145CB77}" name="2025" dataDxfId="183" totalsRowDxfId="182" dataCellStyle="Comma">
      <calculatedColumnFormula>#REF!</calculatedColumnFormula>
    </tableColumn>
    <tableColumn id="9" xr3:uid="{18DB03C9-598D-F249-B274-D3EF93826CC5}" name="2026" dataDxfId="181" totalsRowDxfId="180" dataCellStyle="Comma">
      <calculatedColumnFormula>#REF!</calculatedColumnFormula>
    </tableColumn>
    <tableColumn id="10" xr3:uid="{8D797980-B65E-A648-AA40-32BC96023834}" name="2027" dataDxfId="179" totalsRowDxfId="178" dataCellStyle="Comma">
      <calculatedColumnFormula>#REF!</calculatedColumnFormula>
    </tableColumn>
    <tableColumn id="11" xr3:uid="{851A9367-4BAD-9E48-BC90-556E33B13381}" name="2028" dataDxfId="177" totalsRowDxfId="176" dataCellStyle="Comma">
      <calculatedColumnFormula>#REF!</calculatedColumnFormula>
    </tableColumn>
    <tableColumn id="12" xr3:uid="{8FF7E486-9DA2-624E-BE69-F34407DB907C}" name="2029" dataDxfId="175" totalsRowDxfId="174" dataCellStyle="Comma">
      <calculatedColumnFormula>#REF!</calculatedColumnFormula>
    </tableColumn>
    <tableColumn id="13" xr3:uid="{10581223-ACA5-C44A-93A3-C7BB88D90041}" name="2030" dataDxfId="173" totalsRowDxfId="172" dataCellStyle="Comma">
      <calculatedColumnFormula>#REF!</calculatedColumnFormula>
    </tableColumn>
    <tableColumn id="14" xr3:uid="{FD519FB0-316F-794B-B2D5-6EC639574CCC}" name="2031" dataDxfId="171" totalsRowDxfId="170" dataCellStyle="Comma">
      <calculatedColumnFormula>#REF!</calculatedColumnFormula>
    </tableColumn>
    <tableColumn id="15" xr3:uid="{EF1B48BD-4B23-C048-984F-969A36EC6CE1}" name="2032" dataDxfId="169" totalsRowDxfId="16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67" dataDxfId="166" totalsRowDxfId="165" dataCellStyle="Comma">
  <autoFilter ref="B8:P10" xr:uid="{E6BE8819-74EF-0243-83D9-EC696A1D351F}"/>
  <tableColumns count="15">
    <tableColumn id="1" xr3:uid="{D0D2885A-4D5E-4E46-B852-6808DA59D313}" name="Produk" totalsRowLabel="Total" dataDxfId="164"/>
    <tableColumn id="2" xr3:uid="{1CB01F6E-B1ED-D64D-B0BD-23E3E53023F6}" name="2019" totalsRowFunction="sum" dataDxfId="163" totalsRowDxfId="162" dataCellStyle="Comma">
      <calculatedColumnFormula>#REF!</calculatedColumnFormula>
    </tableColumn>
    <tableColumn id="3" xr3:uid="{DCB192C3-91DC-3E45-AEC4-E3D2C137A2D5}" name="2020" totalsRowFunction="sum" dataDxfId="161" totalsRowDxfId="160" dataCellStyle="Comma">
      <calculatedColumnFormula>#REF!</calculatedColumnFormula>
    </tableColumn>
    <tableColumn id="4" xr3:uid="{E6C180DE-2772-2441-93FB-B7588E5B6492}" name="2021" totalsRowFunction="sum" dataDxfId="159" totalsRowDxfId="158" dataCellStyle="Comma">
      <calculatedColumnFormula>#REF!</calculatedColumnFormula>
    </tableColumn>
    <tableColumn id="5" xr3:uid="{469CD3CF-6462-744C-8BAC-E6F03647D632}" name="2022" totalsRowFunction="sum" dataDxfId="157" totalsRowDxfId="156" dataCellStyle="Comma">
      <calculatedColumnFormula>#REF!</calculatedColumnFormula>
    </tableColumn>
    <tableColumn id="6" xr3:uid="{7F9C2994-4595-BC48-95E7-29BC35B73576}" name="2023" totalsRowFunction="sum" dataDxfId="155" dataCellStyle="Comma">
      <calculatedColumnFormula>#REF!</calculatedColumnFormula>
    </tableColumn>
    <tableColumn id="7" xr3:uid="{8B6255D9-4CA7-434B-A5E8-FBACB2C83FDD}" name="2024" dataDxfId="154" totalsRowDxfId="153" dataCellStyle="Comma">
      <calculatedColumnFormula>#REF!</calculatedColumnFormula>
    </tableColumn>
    <tableColumn id="8" xr3:uid="{F160CBDA-6556-D34B-AFEF-9A4DA3F946CA}" name="2025" dataDxfId="152" totalsRowDxfId="151" dataCellStyle="Comma">
      <calculatedColumnFormula>#REF!</calculatedColumnFormula>
    </tableColumn>
    <tableColumn id="9" xr3:uid="{79196D24-F3A6-5F45-ACB0-1B5911C1DAA0}" name="2026" dataDxfId="150" totalsRowDxfId="149" dataCellStyle="Comma">
      <calculatedColumnFormula>#REF!</calculatedColumnFormula>
    </tableColumn>
    <tableColumn id="10" xr3:uid="{3A202091-9A8A-F349-AFAC-D3575E626EFF}" name="2027" dataDxfId="148" totalsRowDxfId="147" dataCellStyle="Comma">
      <calculatedColumnFormula>#REF!</calculatedColumnFormula>
    </tableColumn>
    <tableColumn id="11" xr3:uid="{43710266-79F5-7448-ACB8-EA6AF60CF213}" name="2028" dataDxfId="146" totalsRowDxfId="145" dataCellStyle="Comma">
      <calculatedColumnFormula>#REF!</calculatedColumnFormula>
    </tableColumn>
    <tableColumn id="12" xr3:uid="{4D0F16A8-89B3-9941-B93B-FECD100FF689}" name="2029" dataDxfId="144" totalsRowDxfId="143" dataCellStyle="Comma">
      <calculatedColumnFormula>#REF!</calculatedColumnFormula>
    </tableColumn>
    <tableColumn id="13" xr3:uid="{6D5B7FE3-4080-6944-BA37-48AE65C1E6B7}" name="2030" dataDxfId="142" totalsRowDxfId="141" dataCellStyle="Comma">
      <calculatedColumnFormula>#REF!</calculatedColumnFormula>
    </tableColumn>
    <tableColumn id="14" xr3:uid="{53FC9BDF-6F34-4444-9FB2-388FA7A90D9D}" name="2031" dataDxfId="140" totalsRowDxfId="139" dataCellStyle="Comma">
      <calculatedColumnFormula>#REF!</calculatedColumnFormula>
    </tableColumn>
    <tableColumn id="15" xr3:uid="{761F26F3-7DA1-C04C-836A-10D25F8EBECB}" name="2032" dataDxfId="138" totalsRowDxfId="137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36" dataDxfId="135" totalsRowDxfId="134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33"/>
    <tableColumn id="2" xr3:uid="{BF9FD117-9D89-6545-A8DD-0203102DDDAC}" name="2019" totalsRowFunction="sum" dataDxfId="132" totalsRowDxfId="131" dataCellStyle="Comma">
      <calculatedColumnFormula>#REF!</calculatedColumnFormula>
    </tableColumn>
    <tableColumn id="3" xr3:uid="{2818C4A9-7E04-0B46-95F9-DE5A3B3080A5}" name="2020" totalsRowFunction="sum" dataDxfId="130" totalsRowDxfId="129" dataCellStyle="Comma">
      <calculatedColumnFormula>#REF!</calculatedColumnFormula>
    </tableColumn>
    <tableColumn id="4" xr3:uid="{CA0DEA62-D652-F241-9090-9124BB9D4F97}" name="2021" totalsRowFunction="sum" dataDxfId="128" totalsRowDxfId="127" dataCellStyle="Comma">
      <calculatedColumnFormula>#REF!</calculatedColumnFormula>
    </tableColumn>
    <tableColumn id="5" xr3:uid="{B4FF4845-3D08-7646-9D46-E1C192E017C8}" name="2022" totalsRowFunction="sum" dataDxfId="126" totalsRowDxfId="125" dataCellStyle="Comma">
      <calculatedColumnFormula>#REF!</calculatedColumnFormula>
    </tableColumn>
    <tableColumn id="6" xr3:uid="{F37F8168-78DB-294A-BE79-CEFAF8321122}" name="2023" totalsRowFunction="sum" dataDxfId="124" dataCellStyle="Comma">
      <calculatedColumnFormula>#REF!</calculatedColumnFormula>
    </tableColumn>
    <tableColumn id="7" xr3:uid="{313A481D-E690-5E40-9356-32C8A89361D8}" name="2024" dataDxfId="123" totalsRowDxfId="122" dataCellStyle="Comma">
      <calculatedColumnFormula>#REF!</calculatedColumnFormula>
    </tableColumn>
    <tableColumn id="8" xr3:uid="{BEDFD046-BF60-8547-8C20-D084BA6D3A8F}" name="2025" dataDxfId="121" totalsRowDxfId="120" dataCellStyle="Comma">
      <calculatedColumnFormula>#REF!</calculatedColumnFormula>
    </tableColumn>
    <tableColumn id="9" xr3:uid="{93344613-7617-C24D-8D5D-C6205EDB39C0}" name="2026" dataDxfId="119" totalsRowDxfId="118" dataCellStyle="Comma">
      <calculatedColumnFormula>#REF!</calculatedColumnFormula>
    </tableColumn>
    <tableColumn id="10" xr3:uid="{A1141682-AB8B-4045-93AA-7AF20DD95FCF}" name="2027" dataDxfId="117" totalsRowDxfId="116" dataCellStyle="Comma">
      <calculatedColumnFormula>#REF!</calculatedColumnFormula>
    </tableColumn>
    <tableColumn id="11" xr3:uid="{848922CD-D37A-784E-B406-FF7DB6A3FFD9}" name="2028" dataDxfId="115" totalsRowDxfId="114" dataCellStyle="Comma">
      <calculatedColumnFormula>#REF!</calculatedColumnFormula>
    </tableColumn>
    <tableColumn id="12" xr3:uid="{D6840AD2-CB80-424A-9FC0-F598D076488C}" name="2029" dataDxfId="113" totalsRowDxfId="112" dataCellStyle="Comma">
      <calculatedColumnFormula>#REF!</calculatedColumnFormula>
    </tableColumn>
    <tableColumn id="13" xr3:uid="{3FC5F7F1-EFBB-6B42-B020-BD479DDEF54C}" name="2030" dataDxfId="111" totalsRowDxfId="110" dataCellStyle="Comma">
      <calculatedColumnFormula>#REF!</calculatedColumnFormula>
    </tableColumn>
    <tableColumn id="14" xr3:uid="{59B3D745-E99A-C048-91B4-C30EE30FE030}" name="2031" dataDxfId="109" totalsRowDxfId="108" dataCellStyle="Comma">
      <calculatedColumnFormula>#REF!</calculatedColumnFormula>
    </tableColumn>
    <tableColumn id="15" xr3:uid="{E7C7A760-9A50-EF4E-9F9A-04F5939B53B3}" name="2032" dataDxfId="107" totalsRowDxfId="106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05" dataDxfId="104" totalsRowDxfId="103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02"/>
    <tableColumn id="2" xr3:uid="{0FE0173E-4A0A-C040-A5BF-13AFD6F74E10}" name="2019" totalsRowFunction="sum" dataDxfId="101" totalsRowDxfId="100" dataCellStyle="Comma"/>
    <tableColumn id="3" xr3:uid="{AA2A7934-1ED5-1841-9585-036B084CAE84}" name="2020" totalsRowFunction="sum" dataDxfId="99" totalsRowDxfId="98" dataCellStyle="Comma"/>
    <tableColumn id="4" xr3:uid="{513FEEBB-6A8F-574A-8F63-64E55E4DB319}" name="2021" totalsRowFunction="sum" dataDxfId="97" totalsRowDxfId="96" dataCellStyle="Comma"/>
    <tableColumn id="5" xr3:uid="{BED0975A-DF8E-C54C-B0E5-F85B60CA1335}" name="2022" totalsRowFunction="sum" dataDxfId="95" totalsRowDxfId="94" dataCellStyle="Comma"/>
    <tableColumn id="6" xr3:uid="{AB8F1B16-FC68-774A-B5DD-4EE17748FA9B}" name="2023" totalsRowFunction="sum" dataDxfId="93" totalsRowDxfId="92" dataCellStyle="Comma"/>
    <tableColumn id="7" xr3:uid="{D2F57DD7-6B8F-444D-A81B-D11878E66625}" name="2024" dataDxfId="91" totalsRowDxfId="90" dataCellStyle="Comma">
      <calculatedColumnFormula>Table36[[#This Row],[2023]]+(H2-G2)*100*$H$9</calculatedColumnFormula>
    </tableColumn>
    <tableColumn id="8" xr3:uid="{1F02D350-400D-8F4D-B198-B879C4D29351}" name="2025" dataDxfId="89" totalsRowDxfId="88" dataCellStyle="Comma">
      <calculatedColumnFormula>Table36[[#This Row],[2024]]+(I2-H2)*100*$H$9</calculatedColumnFormula>
    </tableColumn>
    <tableColumn id="9" xr3:uid="{7B59BB08-B683-F54E-8520-C0BE68887345}" name="2026" dataDxfId="87" totalsRowDxfId="86" dataCellStyle="Comma">
      <calculatedColumnFormula>Table36[[#This Row],[2025]]+(J2-I2)*100*$H$9</calculatedColumnFormula>
    </tableColumn>
    <tableColumn id="10" xr3:uid="{E67B878D-18EA-7548-9411-AA947352680D}" name="2027" dataDxfId="85" totalsRowDxfId="84" dataCellStyle="Comma">
      <calculatedColumnFormula>Table36[[#This Row],[2026]]+(K2-J2)*100*$H$9</calculatedColumnFormula>
    </tableColumn>
    <tableColumn id="11" xr3:uid="{909164A4-A24D-FC4A-85E7-81ADE8AE50D2}" name="2028" dataDxfId="83" totalsRowDxfId="82" dataCellStyle="Comma">
      <calculatedColumnFormula>Table36[[#This Row],[2027]]+(L2-K2)*100*$H$9</calculatedColumnFormula>
    </tableColumn>
    <tableColumn id="12" xr3:uid="{AA2289B0-A74F-F047-9745-BBDFD3F7D472}" name="2029" dataDxfId="81" totalsRowDxfId="80" dataCellStyle="Comma">
      <calculatedColumnFormula>Table36[[#This Row],[2028]]+(M2-L2)*100*$H$9</calculatedColumnFormula>
    </tableColumn>
    <tableColumn id="13" xr3:uid="{5A77795F-5802-6049-BD3D-E5F2DC4167E7}" name="2030" dataDxfId="79" totalsRowDxfId="78" dataCellStyle="Comma">
      <calculatedColumnFormula>Table36[[#This Row],[2029]]+(N2-M2)*100*$H$9</calculatedColumnFormula>
    </tableColumn>
    <tableColumn id="14" xr3:uid="{91BF1624-0775-4B4D-AEB5-F4CCE8DFB0BD}" name="2031" dataDxfId="77" totalsRowDxfId="76" dataCellStyle="Comma">
      <calculatedColumnFormula>Table36[[#This Row],[2030]]+(O2-N2)*100*$H$9</calculatedColumnFormula>
    </tableColumn>
    <tableColumn id="15" xr3:uid="{724851DA-4475-6F4C-B969-ADA0E125A99B}" name="2032" dataDxfId="75" totalsRowDxfId="74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73" dataDxfId="72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71">
      <calculatedColumnFormula array="1">Table36[2023]-Table36[2022]</calculatedColumnFormula>
    </tableColumn>
    <tableColumn id="2" xr3:uid="{A1A7ADBB-EEE7-B44F-8642-79DB0BA2C9B2}" name="1%" dataDxfId="70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69" dataDxfId="68" totalsRowDxfId="67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66" totalsRowDxfId="65"/>
    <tableColumn id="15" xr3:uid="{8E5BD366-1155-CE49-BBB4-3F27339B0B75}" name="2019" dataDxfId="64" totalsRowDxfId="63"/>
    <tableColumn id="14" xr3:uid="{FB0FC5E1-B965-6742-807F-7E3890DBDC3F}" name="2020" dataDxfId="62" totalsRowDxfId="61"/>
    <tableColumn id="13" xr3:uid="{794A7C86-2D33-554F-9012-765C40A5C94A}" name="2021" dataDxfId="60" totalsRowDxfId="59"/>
    <tableColumn id="2" xr3:uid="{72BB7C90-7123-8548-AD32-67D10EFB4941}" name="2022" totalsRowFunction="sum" dataDxfId="58" totalsRowDxfId="57" dataCellStyle="Comma"/>
    <tableColumn id="3" xr3:uid="{D1916A1A-7235-5944-952D-C5B2D3DDE06E}" name="2023" totalsRowFunction="sum" dataDxfId="56" totalsRowDxfId="55" dataCellStyle="Comma"/>
    <tableColumn id="4" xr3:uid="{DCCF41AD-21FF-E24A-BBC9-25283DF564ED}" name="2024" totalsRowFunction="sum" dataDxfId="54" totalsRowDxfId="53" dataCellStyle="Comma"/>
    <tableColumn id="5" xr3:uid="{2D2438E8-19A3-DC49-8708-643DF91EF6CA}" name="2025" totalsRowFunction="sum" dataDxfId="52" totalsRowDxfId="51" dataCellStyle="Comma"/>
    <tableColumn id="6" xr3:uid="{D2DA396E-5667-2944-A522-E55C0615C95B}" name="2026" totalsRowFunction="sum" dataDxfId="50" totalsRowDxfId="49" dataCellStyle="Comma"/>
    <tableColumn id="7" xr3:uid="{EDE1AE77-74CD-4C4A-AB30-33B40B187F4D}" name="2027" totalsRowFunction="custom" dataDxfId="48" totalsRowDxfId="47" dataCellStyle="Comma">
      <totalsRowFormula>Table3[[#Totals],[2026]]+K12</totalsRowFormula>
    </tableColumn>
    <tableColumn id="8" xr3:uid="{E3A4E7A4-9B95-9C45-AD94-5E313CD83314}" name="2028" totalsRowFunction="custom" dataDxfId="46" totalsRowDxfId="45" dataCellStyle="Comma">
      <totalsRowFormula>Table3[[#Totals],[2027]]+L12</totalsRowFormula>
    </tableColumn>
    <tableColumn id="9" xr3:uid="{5396A41B-238E-934A-B88C-05665FF32EAB}" name="2029" totalsRowFunction="custom" dataDxfId="44" totalsRowDxfId="43" dataCellStyle="Comma">
      <totalsRowFormula>Table3[[#Totals],[2028]]+M12</totalsRowFormula>
    </tableColumn>
    <tableColumn id="10" xr3:uid="{4B95DC7B-03C0-554B-8874-CA493F12F898}" name="2030" totalsRowFunction="custom" dataDxfId="42" totalsRowDxfId="41" dataCellStyle="Comma">
      <totalsRowFormula>Table3[[#Totals],[2029]]+N12</totalsRowFormula>
    </tableColumn>
    <tableColumn id="11" xr3:uid="{7AFBF0D8-EFCB-BD40-9797-A8DA640BE121}" name="2031" totalsRowFunction="custom" dataDxfId="40" totalsRowDxfId="39" dataCellStyle="Comma">
      <totalsRowFormula>Table3[[#Totals],[2030]]+O12</totalsRowFormula>
    </tableColumn>
    <tableColumn id="12" xr3:uid="{F50F8622-B86E-DE4B-8344-97514986A226}" name="2032" totalsRowFunction="custom" dataDxfId="38" totalsRowDxfId="37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36" dataDxfId="35" totalsRowDxfId="34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33" totalsRowDxfId="32"/>
    <tableColumn id="15" xr3:uid="{968DDC5B-E089-D843-A52D-7172723D8D2A}" name="2019" dataDxfId="31" totalsRowDxfId="30"/>
    <tableColumn id="14" xr3:uid="{78BB3794-9BF6-8D40-9094-953658171EEA}" name="2020" dataDxfId="29" totalsRowDxfId="28"/>
    <tableColumn id="13" xr3:uid="{A8272FC9-0AD5-BF4D-989E-3C102689BF68}" name="2021" dataDxfId="27" totalsRowDxfId="26"/>
    <tableColumn id="2" xr3:uid="{B4B4FEAA-CB59-9346-9F47-FF72671E2EE8}" name="2022" totalsRowFunction="sum" dataDxfId="25" totalsRowDxfId="24" dataCellStyle="Comma"/>
    <tableColumn id="3" xr3:uid="{231FA472-4B76-4041-8A73-8F9C4AEBBE8F}" name="2023" totalsRowFunction="sum" dataDxfId="23" totalsRowDxfId="22" dataCellStyle="Comma"/>
    <tableColumn id="4" xr3:uid="{2E117CD9-E0EC-D746-814E-EC6AAAC8290B}" name="2024" totalsRowFunction="custom" dataDxfId="21" totalsRowDxfId="20">
      <totalsRowFormula>Table4[[#Totals],[2023]]+(H2-G2)*100*$I$11</totalsRowFormula>
    </tableColumn>
    <tableColumn id="5" xr3:uid="{F927B8CF-7FCD-114C-9E2D-B44F29CFF80D}" name="2025" totalsRowFunction="custom" dataDxfId="19" totalsRowDxfId="18">
      <totalsRowFormula>Table4[[#Totals],[2024]]+(I2-H2)*100*$I$11</totalsRowFormula>
    </tableColumn>
    <tableColumn id="6" xr3:uid="{07104418-C75B-EE40-9CDC-49C0D474463F}" name="2026" totalsRowFunction="custom" dataDxfId="17" totalsRowDxfId="16">
      <totalsRowFormula>Table4[[#Totals],[2025]]+(J2-I2)*100*$I$11</totalsRowFormula>
    </tableColumn>
    <tableColumn id="7" xr3:uid="{DD42A9E1-1AC5-A249-A036-872FCF3A21BF}" name="2027" totalsRowFunction="custom" dataDxfId="15" totalsRowDxfId="14">
      <totalsRowFormula>Table4[[#Totals],[2026]]+(K2-J2)*100*$I$11</totalsRowFormula>
    </tableColumn>
    <tableColumn id="8" xr3:uid="{BB3B38F4-7B6D-4A4B-A663-5855598CB7D4}" name="2028" totalsRowFunction="custom" dataDxfId="13" totalsRowDxfId="12">
      <totalsRowFormula>Table4[[#Totals],[2027]]+(L2-K2)*100*$I$11</totalsRowFormula>
    </tableColumn>
    <tableColumn id="9" xr3:uid="{9F83B130-E9C9-904F-89DD-F5CF18D1A800}" name="2029" totalsRowFunction="custom" dataDxfId="11" totalsRowDxfId="10">
      <totalsRowFormula>Table4[[#Totals],[2028]]+(M2-L2)*100*$I$11</totalsRowFormula>
    </tableColumn>
    <tableColumn id="10" xr3:uid="{61DE65DA-614C-5D46-9E42-B760A7726F49}" name="2030" totalsRowFunction="custom" dataDxfId="9" totalsRowDxfId="8">
      <totalsRowFormula>Table4[[#Totals],[2029]]+(N2-M2)*100*$I$11</totalsRowFormula>
    </tableColumn>
    <tableColumn id="11" xr3:uid="{F9EEB720-D487-8B44-9A5E-608CDE69A8E5}" name="2031" totalsRowFunction="custom" dataDxfId="7" totalsRowDxfId="6">
      <totalsRowFormula>Table4[[#Totals],[2030]]+(O2-N2)*100*$I$11</totalsRowFormula>
    </tableColumn>
    <tableColumn id="12" xr3:uid="{BC9CD56F-EA9F-9B44-89E9-D5ADAD5581E1}" name="2032" totalsRowFunction="custom" dataDxfId="5" totalsRowDxfId="4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zoomScale="141" zoomScaleNormal="80" workbookViewId="0">
      <selection activeCell="A9" sqref="A9"/>
    </sheetView>
  </sheetViews>
  <sheetFormatPr baseColWidth="10" defaultColWidth="11" defaultRowHeight="16" x14ac:dyDescent="0.2"/>
  <cols>
    <col min="1" max="1" width="11" style="1"/>
    <col min="2" max="2" width="13.33203125" style="1" customWidth="1"/>
    <col min="3" max="12" width="17.83203125" style="8" customWidth="1"/>
    <col min="13" max="13" width="17.83203125" style="1" customWidth="1"/>
    <col min="14" max="16384" width="11" style="1"/>
  </cols>
  <sheetData>
    <row r="2" spans="2:14" x14ac:dyDescent="0.2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2">
      <c r="B3" s="2" t="s">
        <v>111</v>
      </c>
      <c r="C3" s="20">
        <f>'TE Office'!C9</f>
        <v>0.80648025591983208</v>
      </c>
      <c r="D3" s="20">
        <f>'TE Office'!D9</f>
        <v>0.84027360892539138</v>
      </c>
      <c r="E3" s="20">
        <f>'TE Office'!E9</f>
        <v>0.89843040357971071</v>
      </c>
      <c r="F3" s="20">
        <f>'TE Office'!F9</f>
        <v>0.89943787070972747</v>
      </c>
      <c r="G3" s="20">
        <f>'TE Office'!G9</f>
        <v>0.89947903213847469</v>
      </c>
      <c r="H3" s="20">
        <f>'TE Office'!H9</f>
        <v>0.92448668561480107</v>
      </c>
      <c r="I3" s="20">
        <f>'TE Office'!I9</f>
        <v>0.92220901797165855</v>
      </c>
      <c r="J3" s="20">
        <f>'TE Office'!J9</f>
        <v>0.92220901797165855</v>
      </c>
      <c r="K3" s="20">
        <f>'TE Office'!K9</f>
        <v>0.92220901797165855</v>
      </c>
      <c r="L3" s="20">
        <f>'TE Office'!L9</f>
        <v>0.92220901797165855</v>
      </c>
      <c r="M3" s="20">
        <f>'TE Office'!M9</f>
        <v>0.92220901797165855</v>
      </c>
    </row>
    <row r="4" spans="2:14" s="2" customFormat="1" x14ac:dyDescent="0.2">
      <c r="B4" s="2" t="s">
        <v>112</v>
      </c>
      <c r="C4" s="20">
        <f>'TE Office'!C18</f>
        <v>0.80525498994983757</v>
      </c>
      <c r="D4" s="20">
        <f>'TE Office'!D18</f>
        <v>0.80985763184168136</v>
      </c>
      <c r="E4" s="20">
        <f>'TE Office'!E18</f>
        <v>0.86385627153958866</v>
      </c>
      <c r="F4" s="20">
        <f>'TE Office'!F18</f>
        <v>0.86259294496847894</v>
      </c>
      <c r="G4" s="20">
        <f>'TE Office'!G18</f>
        <v>0.86038191766189331</v>
      </c>
      <c r="H4" s="20">
        <f>'TE Office'!H18</f>
        <v>0.84411497590289675</v>
      </c>
      <c r="I4" s="20">
        <f>'TE Office'!I18</f>
        <v>0.84176328627380548</v>
      </c>
      <c r="J4" s="20">
        <f>'TE Office'!J18</f>
        <v>0.84175505398805606</v>
      </c>
      <c r="K4" s="20">
        <f>'TE Office'!K18</f>
        <v>0.84175505398805606</v>
      </c>
      <c r="L4" s="20">
        <f>'TE Office'!L18</f>
        <v>0.84175505398805606</v>
      </c>
      <c r="M4" s="20">
        <f>'TE Office'!M18</f>
        <v>0.84175505398805606</v>
      </c>
    </row>
    <row r="5" spans="2:14" s="2" customFormat="1" x14ac:dyDescent="0.2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Office'!C7</f>
        <v>248951980320.72696</v>
      </c>
      <c r="D13" s="8">
        <f>'TE Office'!D7</f>
        <v>257601884350.43256</v>
      </c>
      <c r="E13" s="8">
        <f>'TE Office'!E7</f>
        <v>276123610963.60236</v>
      </c>
      <c r="F13" s="8">
        <f>'TE Office'!F7</f>
        <v>276479683539.30579</v>
      </c>
      <c r="G13" s="8">
        <f>'TE Office'!G7</f>
        <v>275719836739.30579</v>
      </c>
      <c r="H13" s="8">
        <f>'TE Office'!H7</f>
        <v>285149141506.41614</v>
      </c>
      <c r="I13" s="8">
        <f>'TE Office'!I7</f>
        <v>284722672448.04254</v>
      </c>
      <c r="J13" s="8">
        <f>'TE Office'!J7</f>
        <v>284722672448.04254</v>
      </c>
      <c r="K13" s="8">
        <f>'TE Office'!K7</f>
        <v>285916794947.69824</v>
      </c>
      <c r="L13" s="8">
        <f>'TE Office'!L7</f>
        <v>286314835780.91675</v>
      </c>
      <c r="M13" s="8">
        <f>'TE Office'!M7</f>
        <v>286314835780.91675</v>
      </c>
      <c r="N13" s="22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16399663023.428572</v>
      </c>
      <c r="E15" s="8" cm="1">
        <f t="array" ref="E15">Table36[2024]</f>
        <v>19488442332.488911</v>
      </c>
      <c r="F15" s="8" cm="1">
        <f t="array" ref="F15">Table36[2025]</f>
        <v>19541950158.087807</v>
      </c>
      <c r="G15" s="8" cm="1">
        <f t="array" ref="G15">Table36[2026]</f>
        <v>19544136292.488808</v>
      </c>
      <c r="H15" s="8" cm="1">
        <f t="array" ref="H15">Table36[2027]</f>
        <v>20872323705.240086</v>
      </c>
      <c r="I15" s="8" cm="1">
        <f t="array" ref="I15">Table36[2028]</f>
        <v>20751353959.041523</v>
      </c>
      <c r="J15" s="8" cm="1">
        <f t="array" ref="J15">Table36[2029]</f>
        <v>20751353959.041523</v>
      </c>
      <c r="K15" s="8" cm="1">
        <f t="array" ref="K15">Table36[2030]</f>
        <v>20751353959.041523</v>
      </c>
      <c r="L15" s="8" cm="1">
        <f t="array" ref="L15">Table36[2031]</f>
        <v>20751353959.041523</v>
      </c>
      <c r="M15" s="8" cm="1">
        <f t="array" ref="M15">Table36[2032]</f>
        <v>20751353959.041523</v>
      </c>
      <c r="N15" s="23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9491677710.0826931</v>
      </c>
      <c r="F17" s="8">
        <f>Table4[[#Totals],[2025]]</f>
        <v>9532610410.4248867</v>
      </c>
      <c r="G17" s="8">
        <f>Table4[[#Totals],[2026]]</f>
        <v>9534282771.1187172</v>
      </c>
      <c r="H17" s="8">
        <f>Table4[[#Totals],[2027]]</f>
        <v>10550326625.562725</v>
      </c>
      <c r="I17" s="8">
        <f>Table4[[#Totals],[2028]]</f>
        <v>10457786547.243435</v>
      </c>
      <c r="J17" s="8">
        <f>Table4[[#Totals],[2029]]</f>
        <v>10457786547.243435</v>
      </c>
      <c r="K17" s="8">
        <f>Table4[[#Totals],[2030]]</f>
        <v>10457786547.243435</v>
      </c>
      <c r="L17" s="8">
        <f>Table4[[#Totals],[2031]]</f>
        <v>10457786547.243435</v>
      </c>
      <c r="M17" s="8">
        <f>Table4[[#Totals],[2032]]</f>
        <v>10457786547.243435</v>
      </c>
      <c r="N17" s="23"/>
    </row>
    <row r="18" spans="2:14" ht="20" customHeight="1" x14ac:dyDescent="0.2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5500000000</v>
      </c>
      <c r="F18" s="8">
        <f>SH!I4</f>
        <v>6000000000</v>
      </c>
      <c r="G18" s="8">
        <f>SH!J4</f>
        <v>7000000000</v>
      </c>
      <c r="H18" s="8">
        <f>SH!K4</f>
        <v>7500000000</v>
      </c>
      <c r="I18" s="8">
        <f>SH!L4</f>
        <v>8000000000</v>
      </c>
      <c r="J18" s="8">
        <f>SH!M4</f>
        <v>8500000000</v>
      </c>
      <c r="K18" s="8">
        <f>SH!N4</f>
        <v>9000000000</v>
      </c>
      <c r="L18" s="8">
        <f>SH!O4</f>
        <v>9000000000</v>
      </c>
      <c r="M18" s="8">
        <f>SH!P4</f>
        <v>9000000000</v>
      </c>
      <c r="N18" s="23"/>
    </row>
    <row r="19" spans="2:14" ht="20" customHeight="1" x14ac:dyDescent="0.2">
      <c r="B19" s="1" t="s">
        <v>6</v>
      </c>
      <c r="C19" s="8">
        <v>3500000000</v>
      </c>
      <c r="D19" s="8">
        <v>3500000000</v>
      </c>
      <c r="E19" s="8">
        <v>3500000000</v>
      </c>
      <c r="F19" s="8">
        <v>3500000000</v>
      </c>
      <c r="G19" s="8">
        <v>3500000000</v>
      </c>
      <c r="H19" s="8">
        <v>3500000000</v>
      </c>
      <c r="I19" s="8">
        <v>3500000000</v>
      </c>
      <c r="J19" s="8">
        <v>3500000000</v>
      </c>
      <c r="K19" s="8">
        <v>3500000000</v>
      </c>
      <c r="L19" s="8">
        <v>3500000000</v>
      </c>
      <c r="M19" s="8">
        <v>3500000000</v>
      </c>
      <c r="N19" s="23"/>
    </row>
    <row r="20" spans="2:14" ht="20" customHeight="1" x14ac:dyDescent="0.2">
      <c r="B20" s="1" t="s">
        <v>0</v>
      </c>
      <c r="C20" s="8">
        <f>Ampera!C4</f>
        <v>7382584356</v>
      </c>
      <c r="D20" s="8">
        <f>Ampera!D4</f>
        <v>7382584356</v>
      </c>
      <c r="E20" s="8">
        <f>Ampera!E4</f>
        <v>7382584356</v>
      </c>
      <c r="F20" s="8">
        <f>Ampera!F4</f>
        <v>8199964357.2000008</v>
      </c>
      <c r="G20" s="8">
        <f>Ampera!G4</f>
        <v>9017344357.2000008</v>
      </c>
      <c r="H20" s="8">
        <f>Ampera!H4</f>
        <v>9017344357.2000008</v>
      </c>
      <c r="I20" s="8">
        <f>Ampera!I4</f>
        <v>9017344357.2000008</v>
      </c>
      <c r="J20" s="8">
        <f>Ampera!J4</f>
        <v>9017344357.2000008</v>
      </c>
      <c r="K20" s="8">
        <f>Ampera!K4</f>
        <v>9017344357.2000008</v>
      </c>
      <c r="L20" s="8">
        <f>Ampera!L4</f>
        <v>9017344357.2000008</v>
      </c>
      <c r="M20" s="8">
        <f>Ampera!M4</f>
        <v>9017344357.2000008</v>
      </c>
      <c r="N20" s="23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2">
      <c r="B22" s="1" t="s">
        <v>113</v>
      </c>
      <c r="C22" s="8">
        <f>Dago!F4</f>
        <v>8000000000</v>
      </c>
      <c r="D22" s="8">
        <f>Dago!G4</f>
        <v>8500000000</v>
      </c>
      <c r="E22" s="8">
        <f>Dago!H4</f>
        <v>9000000000</v>
      </c>
      <c r="F22" s="8">
        <f>Dago!I4</f>
        <v>10000000000</v>
      </c>
      <c r="G22" s="8">
        <f>Dago!J4</f>
        <v>10500000000</v>
      </c>
      <c r="H22" s="8">
        <f>Dago!K4</f>
        <v>11000000000</v>
      </c>
      <c r="I22" s="8">
        <f>Dago!L4</f>
        <v>12000000000</v>
      </c>
      <c r="J22" s="8">
        <f>Dago!M4</f>
        <v>12000000000</v>
      </c>
      <c r="K22" s="8">
        <f>Dago!N4</f>
        <v>12000000000</v>
      </c>
      <c r="L22" s="8">
        <f>Dago!O4</f>
        <v>12000000000</v>
      </c>
      <c r="M22" s="8">
        <f>Dago!P4</f>
        <v>12000000000</v>
      </c>
      <c r="N22" s="23"/>
    </row>
    <row r="23" spans="2:14" ht="20" customHeight="1" thickBot="1" x14ac:dyDescent="0.25">
      <c r="B23" s="1" t="s">
        <v>20</v>
      </c>
      <c r="C23" s="9">
        <f>SUBTOTAL(109,Table2[2022])</f>
        <v>318400736080.66931</v>
      </c>
      <c r="D23" s="9">
        <f>SUBTOTAL(109,Table2[2023])</f>
        <v>333537651678.32971</v>
      </c>
      <c r="E23" s="9">
        <f>SUBTOTAL(109,Table2[2024])</f>
        <v>359479028385.64252</v>
      </c>
      <c r="F23" s="9">
        <f>SUBTOTAL(109,Table2[2025])</f>
        <v>362952311488.48706</v>
      </c>
      <c r="G23" s="9">
        <f>SUBTOTAL(109,Table2[2026])</f>
        <v>365108783183.58191</v>
      </c>
      <c r="H23" s="9">
        <f>SUBTOTAL(109,Table2[2027])</f>
        <v>378482319217.88757</v>
      </c>
      <c r="I23" s="9">
        <f>SUBTOTAL(109,Table2[2028])</f>
        <v>379942340334.99603</v>
      </c>
      <c r="J23" s="9">
        <f>SUBTOTAL(109,Table2[2029])</f>
        <v>381042340334.99603</v>
      </c>
      <c r="K23" s="9">
        <f>SUBTOTAL(109,Table2[2030])</f>
        <v>383336462834.65173</v>
      </c>
      <c r="L23" s="9">
        <f>SUBTOTAL(109,Table2[2031])</f>
        <v>384334503667.87024</v>
      </c>
      <c r="M23" s="9">
        <f>SUBTOTAL(109,Table2[2032])</f>
        <v>384934503667.87024</v>
      </c>
      <c r="N23" s="24"/>
    </row>
    <row r="24" spans="2:14" ht="20" customHeight="1" x14ac:dyDescent="0.2">
      <c r="D24" s="8">
        <f>Table2[[#Totals],[2023]]/14750</f>
        <v>22612722.147683371</v>
      </c>
      <c r="E24" s="8">
        <f>Table2[[#Totals],[2024]]/14750</f>
        <v>24371459.551568985</v>
      </c>
      <c r="F24" s="8">
        <f>Table2[[#Totals],[2025]]/14750</f>
        <v>24606936.372100819</v>
      </c>
      <c r="G24" s="8">
        <f>Table2[[#Totals],[2026]]/14750</f>
        <v>24753137.842954706</v>
      </c>
      <c r="H24" s="8">
        <f>Table2[[#Totals],[2027]]/14750</f>
        <v>25659818.252060175</v>
      </c>
      <c r="I24" s="8">
        <f>Table2[[#Totals],[2028]]/14750</f>
        <v>25758802.734576002</v>
      </c>
      <c r="J24" s="8">
        <f>Table2[[#Totals],[2029]]/14750</f>
        <v>25833379.005762443</v>
      </c>
      <c r="K24" s="8">
        <f>Table2[[#Totals],[2030]]/14750</f>
        <v>25988912.734552659</v>
      </c>
      <c r="L24" s="8">
        <f>Table2[[#Totals],[2031]]/14750</f>
        <v>26056576.519855611</v>
      </c>
      <c r="M24" s="8">
        <f>Table2[[#Totals],[2032]]/14750</f>
        <v>26097254.485957306</v>
      </c>
    </row>
    <row r="25" spans="2:14" ht="20" customHeight="1" x14ac:dyDescent="0.2"/>
    <row r="26" spans="2:14" s="6" customFormat="1" ht="20" customHeight="1" x14ac:dyDescent="0.2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25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2">
      <c r="B28" s="11" t="s">
        <v>7</v>
      </c>
      <c r="C28" s="98">
        <f>'TE Office'!C16</f>
        <v>248555490720.72696</v>
      </c>
      <c r="D28" s="98">
        <f>'TE Office'!D16</f>
        <v>247725126742.11261</v>
      </c>
      <c r="E28" s="98">
        <f>'TE Office'!E16</f>
        <v>264727726609.62979</v>
      </c>
      <c r="F28" s="98">
        <f>'TE Office'!F16</f>
        <v>264273661472.84836</v>
      </c>
      <c r="G28" s="98">
        <f>'TE Office'!G16</f>
        <v>262845412632.84836</v>
      </c>
      <c r="H28" s="98">
        <f>'TE Office'!H16</f>
        <v>258128283672.504</v>
      </c>
      <c r="I28" s="98">
        <f>'TE Office'!I16</f>
        <v>257680431645.72256</v>
      </c>
      <c r="J28" s="98">
        <f>'TE Office'!J16</f>
        <v>257680431645.72256</v>
      </c>
      <c r="K28" s="98">
        <f>'TE Office'!K16</f>
        <v>258673138195.3782</v>
      </c>
      <c r="L28" s="98">
        <f>'TE Office'!L16</f>
        <v>259004040378.59674</v>
      </c>
      <c r="M28" s="98">
        <f>'TE Office'!M16</f>
        <v>259004040378.59674</v>
      </c>
      <c r="N28" s="22"/>
    </row>
    <row r="29" spans="2:14" ht="20" customHeight="1" x14ac:dyDescent="0.2">
      <c r="B29" s="1" t="s">
        <v>8</v>
      </c>
      <c r="C29" s="8">
        <v>7000000000</v>
      </c>
      <c r="D29" s="8">
        <v>7800000000</v>
      </c>
      <c r="E29" s="8">
        <v>7800000000</v>
      </c>
      <c r="F29" s="8">
        <v>7800000000</v>
      </c>
      <c r="G29" s="8">
        <v>7800000000</v>
      </c>
      <c r="H29" s="8">
        <v>7800000000</v>
      </c>
      <c r="I29" s="8">
        <v>7800000000</v>
      </c>
      <c r="J29" s="8">
        <v>7800000000</v>
      </c>
      <c r="K29" s="8">
        <v>7800000000</v>
      </c>
      <c r="L29" s="8">
        <v>7800000000</v>
      </c>
      <c r="M29" s="8">
        <v>7800000000</v>
      </c>
      <c r="N29" s="23"/>
    </row>
    <row r="30" spans="2:14" ht="20" customHeight="1" x14ac:dyDescent="0.2">
      <c r="B30" s="1" t="s">
        <v>2</v>
      </c>
      <c r="C30" s="8" cm="1">
        <f t="array" ref="C30">Table36[2022]</f>
        <v>15151548951.902332</v>
      </c>
      <c r="D30" s="8" cm="1">
        <f t="array" ref="D30">Table36[2023]</f>
        <v>16399663023.428572</v>
      </c>
      <c r="E30" s="8" cm="1">
        <f t="array" ref="E30">Table36[2024]</f>
        <v>19488442332.488911</v>
      </c>
      <c r="F30" s="8" cm="1">
        <f t="array" ref="F30">Table36[2025]</f>
        <v>19541950158.087807</v>
      </c>
      <c r="G30" s="8" cm="1">
        <f t="array" ref="G30">Table36[2026]</f>
        <v>19544136292.488808</v>
      </c>
      <c r="H30" s="8" cm="1">
        <f t="array" ref="H30">Table36[2027]</f>
        <v>20872323705.240086</v>
      </c>
      <c r="I30" s="8" cm="1">
        <f t="array" ref="I30">Table36[2028]</f>
        <v>20751353959.041523</v>
      </c>
      <c r="J30" s="8" cm="1">
        <f t="array" ref="J30">Table36[2029]</f>
        <v>20751353959.041523</v>
      </c>
      <c r="K30" s="8" cm="1">
        <f t="array" ref="K30">Table36[2030]</f>
        <v>20751353959.041523</v>
      </c>
      <c r="L30" s="8" cm="1">
        <f t="array" ref="L30">Table36[2031]</f>
        <v>20751353959.041523</v>
      </c>
      <c r="M30" s="8" cm="1">
        <f t="array" ref="M30">Table36[2032]</f>
        <v>20751353959.041523</v>
      </c>
      <c r="N30" s="23"/>
    </row>
    <row r="31" spans="2:14" ht="20" customHeight="1" x14ac:dyDescent="0.2">
      <c r="B31" s="1" t="s">
        <v>3</v>
      </c>
      <c r="C31" s="8">
        <f>Table3[[#Totals],[2022]]</f>
        <v>16440604452.040001</v>
      </c>
      <c r="D31" s="8">
        <f>Table3[[#Totals],[2023]]</f>
        <v>18124713023.468571</v>
      </c>
      <c r="E31" s="8">
        <f>Table3[[#Totals],[2024]]</f>
        <v>18592713023.468571</v>
      </c>
      <c r="F31" s="8">
        <f>Table3[[#Totals],[2025]]</f>
        <v>19298103023.468571</v>
      </c>
      <c r="G31" s="8">
        <f>Table3[[#Totals],[2026]]</f>
        <v>19893183023.468571</v>
      </c>
      <c r="H31" s="8">
        <f>Table3[[#Totals],[2027]]</f>
        <v>20493183023.468571</v>
      </c>
      <c r="I31" s="8">
        <f>Table3[[#Totals],[2028]]</f>
        <v>21093183023.468571</v>
      </c>
      <c r="J31" s="8">
        <f>Table3[[#Totals],[2029]]</f>
        <v>21693183023.468571</v>
      </c>
      <c r="K31" s="8">
        <f>Table3[[#Totals],[2030]]</f>
        <v>22293183023.468571</v>
      </c>
      <c r="L31" s="8">
        <f>Table3[[#Totals],[2031]]</f>
        <v>22893183023.468571</v>
      </c>
      <c r="M31" s="8">
        <f>Table3[[#Totals],[2032]]</f>
        <v>23493183023.468571</v>
      </c>
      <c r="N31" s="23"/>
    </row>
    <row r="32" spans="2:14" ht="20" customHeight="1" x14ac:dyDescent="0.2">
      <c r="B32" s="1" t="s">
        <v>4</v>
      </c>
      <c r="C32" s="8">
        <f>Table4[[#Totals],[2022]]</f>
        <v>6174018000</v>
      </c>
      <c r="D32" s="8">
        <f>Table4[[#Totals],[2023]]</f>
        <v>7128806925</v>
      </c>
      <c r="E32" s="8">
        <f>Table4[[#Totals],[2024]]</f>
        <v>9491677710.0826931</v>
      </c>
      <c r="F32" s="8">
        <f>Table4[[#Totals],[2025]]</f>
        <v>9532610410.4248867</v>
      </c>
      <c r="G32" s="8">
        <f>Table4[[#Totals],[2026]]</f>
        <v>9534282771.1187172</v>
      </c>
      <c r="H32" s="8">
        <f>Table4[[#Totals],[2027]]</f>
        <v>10550326625.562725</v>
      </c>
      <c r="I32" s="8">
        <f>Table4[[#Totals],[2028]]</f>
        <v>10457786547.243435</v>
      </c>
      <c r="J32" s="8">
        <f>Table4[[#Totals],[2029]]</f>
        <v>10457786547.243435</v>
      </c>
      <c r="K32" s="8">
        <f>Table4[[#Totals],[2030]]</f>
        <v>10457786547.243435</v>
      </c>
      <c r="L32" s="8">
        <f>Table4[[#Totals],[2031]]</f>
        <v>10457786547.243435</v>
      </c>
      <c r="M32" s="8">
        <f>Table4[[#Totals],[2032]]</f>
        <v>10457786547.243435</v>
      </c>
      <c r="N32" s="23"/>
    </row>
    <row r="33" spans="2:14" ht="20" customHeight="1" x14ac:dyDescent="0.2">
      <c r="B33" s="1" t="s">
        <v>5</v>
      </c>
      <c r="C33" s="98">
        <f>SH!F9</f>
        <v>3200000000</v>
      </c>
      <c r="D33" s="98">
        <f>SH!G9</f>
        <v>4500000000</v>
      </c>
      <c r="E33" s="98">
        <f>SH!H9</f>
        <v>4750000000</v>
      </c>
      <c r="F33" s="98">
        <f>SH!I9</f>
        <v>5000000000</v>
      </c>
      <c r="G33" s="98">
        <f>SH!J9</f>
        <v>5250000000</v>
      </c>
      <c r="H33" s="98">
        <f>SH!K9</f>
        <v>5750000000</v>
      </c>
      <c r="I33" s="98">
        <f>SH!L9</f>
        <v>6250000000</v>
      </c>
      <c r="J33" s="98">
        <f>SH!M9</f>
        <v>6750000000</v>
      </c>
      <c r="K33" s="98">
        <f>SH!N9</f>
        <v>7250000000</v>
      </c>
      <c r="L33" s="98">
        <f>SH!O9</f>
        <v>7250000000</v>
      </c>
      <c r="M33" s="98">
        <f>SH!P9</f>
        <v>7250000000</v>
      </c>
      <c r="N33" s="23"/>
    </row>
    <row r="34" spans="2:14" ht="20" customHeight="1" x14ac:dyDescent="0.2">
      <c r="B34" s="1" t="s">
        <v>6</v>
      </c>
      <c r="C34" s="8">
        <v>3500000000</v>
      </c>
      <c r="D34" s="8">
        <v>3500000000</v>
      </c>
      <c r="E34" s="8">
        <v>3500000000</v>
      </c>
      <c r="F34" s="8">
        <v>3500000000</v>
      </c>
      <c r="G34" s="8">
        <v>3500000000</v>
      </c>
      <c r="H34" s="8">
        <v>3500000000</v>
      </c>
      <c r="I34" s="8">
        <v>3500000000</v>
      </c>
      <c r="J34" s="8">
        <v>3500000000</v>
      </c>
      <c r="K34" s="8">
        <v>3500000000</v>
      </c>
      <c r="L34" s="8">
        <v>3500000000</v>
      </c>
      <c r="M34" s="8">
        <v>3500000000</v>
      </c>
      <c r="N34" s="23"/>
    </row>
    <row r="35" spans="2:14" ht="20" customHeight="1" x14ac:dyDescent="0.2">
      <c r="B35" s="1" t="s">
        <v>0</v>
      </c>
      <c r="C35" s="8">
        <f>Ampera!C4</f>
        <v>7382584356</v>
      </c>
      <c r="D35" s="8">
        <f>Ampera!D4</f>
        <v>7382584356</v>
      </c>
      <c r="E35" s="8">
        <f>Ampera!E4</f>
        <v>7382584356</v>
      </c>
      <c r="F35" s="8">
        <f>Ampera!F4</f>
        <v>8199964357.2000008</v>
      </c>
      <c r="G35" s="8">
        <f>Ampera!G4</f>
        <v>9017344357.2000008</v>
      </c>
      <c r="H35" s="8">
        <f>Ampera!H4</f>
        <v>9017344357.2000008</v>
      </c>
      <c r="I35" s="8">
        <f>Ampera!I4</f>
        <v>9017344357.2000008</v>
      </c>
      <c r="J35" s="8">
        <f>Ampera!J4</f>
        <v>9017344357.2000008</v>
      </c>
      <c r="K35" s="8">
        <f>Ampera!K4</f>
        <v>9017344357.2000008</v>
      </c>
      <c r="L35" s="8">
        <f>Ampera!L4</f>
        <v>9017344357.2000008</v>
      </c>
      <c r="M35" s="8">
        <f>Ampera!M4</f>
        <v>9017344357.2000008</v>
      </c>
      <c r="N35" s="23"/>
    </row>
    <row r="36" spans="2:14" ht="20" customHeight="1" x14ac:dyDescent="0.2">
      <c r="B36" s="1" t="s">
        <v>1</v>
      </c>
      <c r="C36" s="8">
        <v>2600000000</v>
      </c>
      <c r="D36" s="8">
        <v>2600000000</v>
      </c>
      <c r="E36" s="8">
        <v>2600000000</v>
      </c>
      <c r="F36" s="8">
        <v>2600000000</v>
      </c>
      <c r="G36" s="8">
        <v>2600000000</v>
      </c>
      <c r="H36" s="8">
        <v>2600000000</v>
      </c>
      <c r="I36" s="8">
        <v>2600000000</v>
      </c>
      <c r="J36" s="8">
        <v>2600000000</v>
      </c>
      <c r="K36" s="8">
        <v>2600000000</v>
      </c>
      <c r="L36" s="8">
        <v>2600000000</v>
      </c>
      <c r="M36" s="8">
        <v>2600000000</v>
      </c>
      <c r="N36" s="23"/>
    </row>
    <row r="37" spans="2:14" ht="20" customHeight="1" x14ac:dyDescent="0.2">
      <c r="B37" s="1" t="s">
        <v>113</v>
      </c>
      <c r="C37" s="8">
        <f>Dago!F4</f>
        <v>8000000000</v>
      </c>
      <c r="D37" s="8">
        <f>Dago!G4</f>
        <v>8500000000</v>
      </c>
      <c r="E37" s="8">
        <f>Dago!H4</f>
        <v>9000000000</v>
      </c>
      <c r="F37" s="8">
        <f>Dago!I4</f>
        <v>10000000000</v>
      </c>
      <c r="G37" s="8">
        <f>Dago!J4</f>
        <v>10500000000</v>
      </c>
      <c r="H37" s="8">
        <f>Dago!K4</f>
        <v>11000000000</v>
      </c>
      <c r="I37" s="8">
        <f>Dago!L4</f>
        <v>12000000000</v>
      </c>
      <c r="J37" s="8">
        <f>Dago!M4</f>
        <v>12000000000</v>
      </c>
      <c r="K37" s="8">
        <f>Dago!N4</f>
        <v>12000000000</v>
      </c>
      <c r="L37" s="8">
        <f>Dago!O4</f>
        <v>12000000000</v>
      </c>
      <c r="M37" s="8">
        <f>Dago!P4</f>
        <v>12000000000</v>
      </c>
      <c r="N37" s="23"/>
    </row>
    <row r="38" spans="2:14" ht="20" customHeight="1" thickBot="1" x14ac:dyDescent="0.25">
      <c r="B38" s="1" t="s">
        <v>20</v>
      </c>
      <c r="C38" s="9">
        <f>SUBTOTAL(109,Table211[2022])</f>
        <v>318004246480.66931</v>
      </c>
      <c r="D38" s="9">
        <f>SUBTOTAL(109,Table211[2023])</f>
        <v>323660894070.00977</v>
      </c>
      <c r="E38" s="9">
        <f>SUBTOTAL(109,Table211[2024])</f>
        <v>347333144031.66998</v>
      </c>
      <c r="F38" s="9">
        <f>SUBTOTAL(109,Table211[2025])</f>
        <v>349746289422.0296</v>
      </c>
      <c r="G38" s="9">
        <f>SUBTOTAL(109,Table211[2026])</f>
        <v>350484359077.12445</v>
      </c>
      <c r="H38" s="9">
        <f>SUBTOTAL(109,Table211[2027])</f>
        <v>349711461383.9754</v>
      </c>
      <c r="I38" s="9">
        <f>SUBTOTAL(109,Table211[2028])</f>
        <v>351150099532.67609</v>
      </c>
      <c r="J38" s="9">
        <f>SUBTOTAL(109,Table211[2029])</f>
        <v>352250099532.67609</v>
      </c>
      <c r="K38" s="9">
        <f>SUBTOTAL(109,Table211[2030])</f>
        <v>354342806082.33173</v>
      </c>
      <c r="L38" s="9">
        <f>SUBTOTAL(109,Table211[2031])</f>
        <v>355273708265.55023</v>
      </c>
      <c r="M38" s="9">
        <f>SUBTOTAL(109,Table211[2032])</f>
        <v>355873708265.55023</v>
      </c>
      <c r="N38" s="24"/>
    </row>
    <row r="39" spans="2:14" x14ac:dyDescent="0.2">
      <c r="D39" s="8">
        <f>Table211[[#Totals],[2023]]/14750</f>
        <v>21943111.462373544</v>
      </c>
      <c r="E39" s="8">
        <f>Table211[[#Totals],[2024]]/14750</f>
        <v>23548009.764858983</v>
      </c>
      <c r="F39" s="8">
        <f>Table211[[#Totals],[2025]]/14750</f>
        <v>23711612.842171498</v>
      </c>
      <c r="G39" s="8">
        <f>Table211[[#Totals],[2026]]/14750</f>
        <v>23761651.462855894</v>
      </c>
      <c r="H39" s="8">
        <f>Table211[[#Totals],[2027]]/14750</f>
        <v>23709251.61925257</v>
      </c>
      <c r="I39" s="8">
        <f>Table211[[#Totals],[2028]]/14750</f>
        <v>23806786.408994988</v>
      </c>
      <c r="J39" s="8">
        <f>Table211[[#Totals],[2029]]/14750</f>
        <v>23881362.680181429</v>
      </c>
      <c r="K39" s="8">
        <f>Table211[[#Totals],[2030]]/14750</f>
        <v>24023241.090327576</v>
      </c>
      <c r="L39" s="8">
        <f>Table211[[#Totals],[2031]]/14750</f>
        <v>24086353.102749169</v>
      </c>
      <c r="M39" s="8">
        <f>Table211[[#Totals],[2032]]/14750</f>
        <v>24127031.068850864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N18"/>
  <sheetViews>
    <sheetView showGridLines="0" zoomScale="125" zoomScaleNormal="100" workbookViewId="0">
      <selection activeCell="A4" sqref="A4:XFD9"/>
    </sheetView>
  </sheetViews>
  <sheetFormatPr baseColWidth="10" defaultRowHeight="16" x14ac:dyDescent="0.2"/>
  <cols>
    <col min="1" max="1" width="10.83203125" style="1"/>
    <col min="2" max="2" width="10.83203125" style="29"/>
    <col min="3" max="13" width="15.1640625" style="1" customWidth="1"/>
    <col min="14" max="16384" width="10.83203125" style="1"/>
  </cols>
  <sheetData>
    <row r="3" spans="2:1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4" s="6" customFormat="1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226133977884.88779</v>
      </c>
      <c r="F5" s="33">
        <v>226054942964.88779</v>
      </c>
      <c r="G5" s="33">
        <v>225292846164.88779</v>
      </c>
      <c r="H5" s="33">
        <v>232154544244.88779</v>
      </c>
      <c r="I5" s="33">
        <v>231460133289.84375</v>
      </c>
      <c r="J5" s="33">
        <v>231460133289.84375</v>
      </c>
      <c r="K5" s="33">
        <v>231460133289.84375</v>
      </c>
      <c r="L5" s="33">
        <v>231460133289.84375</v>
      </c>
      <c r="M5" s="33">
        <v>231460133289.84375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49989633078.714592</v>
      </c>
      <c r="F6" s="33">
        <v>50424740574.41803</v>
      </c>
      <c r="G6" s="33">
        <v>50426990574.41803</v>
      </c>
      <c r="H6" s="33">
        <v>52994597261.528358</v>
      </c>
      <c r="I6" s="33">
        <v>53262539158.198814</v>
      </c>
      <c r="J6" s="33">
        <v>53262539158.198814</v>
      </c>
      <c r="K6" s="33">
        <v>54456661657.854462</v>
      </c>
      <c r="L6" s="33">
        <v>54854702491.073013</v>
      </c>
      <c r="M6" s="33">
        <v>54854702491.073013</v>
      </c>
      <c r="N6" s="39"/>
    </row>
    <row r="7" spans="2:14" s="30" customFormat="1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276123610963.60236</v>
      </c>
      <c r="F7" s="35">
        <v>276479683539.30579</v>
      </c>
      <c r="G7" s="35">
        <v>275719836739.30579</v>
      </c>
      <c r="H7" s="35">
        <v>285149141506.41614</v>
      </c>
      <c r="I7" s="35">
        <v>284722672448.04254</v>
      </c>
      <c r="J7" s="35">
        <v>284722672448.04254</v>
      </c>
      <c r="K7" s="35">
        <v>285916794947.69824</v>
      </c>
      <c r="L7" s="35">
        <v>286314835780.91675</v>
      </c>
      <c r="M7" s="35">
        <v>286314835780.91675</v>
      </c>
      <c r="N7" s="40"/>
    </row>
    <row r="8" spans="2:14" ht="21" customHeight="1" x14ac:dyDescent="0.2">
      <c r="B8" s="29" t="s">
        <v>67</v>
      </c>
      <c r="C8" s="32">
        <v>48982.76617610659</v>
      </c>
      <c r="D8" s="33">
        <v>51035.255243789958</v>
      </c>
      <c r="E8" s="33">
        <v>54567.49382395867</v>
      </c>
      <c r="F8" s="33">
        <v>54628.683823958658</v>
      </c>
      <c r="G8" s="33">
        <v>54631.183823958658</v>
      </c>
      <c r="H8" s="33">
        <v>56150.060490625328</v>
      </c>
      <c r="I8" s="33">
        <v>56011.72299163264</v>
      </c>
      <c r="J8" s="33">
        <v>56011.72299163264</v>
      </c>
      <c r="K8" s="33">
        <v>56011.72299163264</v>
      </c>
      <c r="L8" s="33">
        <v>56011.72299163264</v>
      </c>
      <c r="M8" s="33">
        <v>56011.72299163264</v>
      </c>
      <c r="N8" s="39"/>
    </row>
    <row r="9" spans="2:14" ht="21" customHeight="1" thickBot="1" x14ac:dyDescent="0.25">
      <c r="B9" s="29" t="s">
        <v>68</v>
      </c>
      <c r="C9" s="36">
        <v>0.80648025591983208</v>
      </c>
      <c r="D9" s="37">
        <v>0.84027360892539138</v>
      </c>
      <c r="E9" s="37">
        <v>0.89843040357971071</v>
      </c>
      <c r="F9" s="37">
        <v>0.89943787070972747</v>
      </c>
      <c r="G9" s="37">
        <v>0.89947903213847469</v>
      </c>
      <c r="H9" s="37">
        <v>0.92448668561480107</v>
      </c>
      <c r="I9" s="37">
        <v>0.92220901797165855</v>
      </c>
      <c r="J9" s="37">
        <v>0.92220901797165855</v>
      </c>
      <c r="K9" s="37">
        <v>0.92220901797165855</v>
      </c>
      <c r="L9" s="37">
        <v>0.92220901797165855</v>
      </c>
      <c r="M9" s="37">
        <v>0.92220901797165855</v>
      </c>
      <c r="N9" s="41"/>
    </row>
    <row r="10" spans="2:14" ht="21" customHeight="1" x14ac:dyDescent="0.2"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</row>
    <row r="11" spans="2:14" ht="21" customHeight="1" x14ac:dyDescent="0.2"/>
    <row r="12" spans="2:14" s="6" customFormat="1" ht="21" customHeight="1" x14ac:dyDescent="0.2">
      <c r="B12" s="29"/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6">
        <v>10</v>
      </c>
    </row>
    <row r="13" spans="2:14" s="6" customFormat="1" ht="21" customHeight="1" thickBot="1" x14ac:dyDescent="0.25">
      <c r="B13" s="29" t="s">
        <v>64</v>
      </c>
      <c r="C13" s="31">
        <v>44926</v>
      </c>
      <c r="D13" s="31">
        <v>45291</v>
      </c>
      <c r="E13" s="31">
        <v>45657</v>
      </c>
      <c r="F13" s="31">
        <v>46022</v>
      </c>
      <c r="G13" s="31">
        <v>46387</v>
      </c>
      <c r="H13" s="31">
        <v>46752</v>
      </c>
      <c r="I13" s="31">
        <v>47118</v>
      </c>
      <c r="J13" s="31">
        <v>47483</v>
      </c>
      <c r="K13" s="31">
        <v>47848</v>
      </c>
      <c r="L13" s="31">
        <v>48213</v>
      </c>
      <c r="M13" s="31">
        <v>48579</v>
      </c>
    </row>
    <row r="14" spans="2:14" ht="21" customHeight="1" x14ac:dyDescent="0.2">
      <c r="B14" s="29" t="s">
        <v>65</v>
      </c>
      <c r="C14" s="32">
        <v>205309239968.79742</v>
      </c>
      <c r="D14" s="33">
        <v>203842487833.58954</v>
      </c>
      <c r="E14" s="33">
        <v>216638026103.52374</v>
      </c>
      <c r="F14" s="33">
        <v>215898175183.52374</v>
      </c>
      <c r="G14" s="33">
        <v>214590112343.52374</v>
      </c>
      <c r="H14" s="33">
        <v>209766672183.52374</v>
      </c>
      <c r="I14" s="33">
        <v>209114994623.52374</v>
      </c>
      <c r="J14" s="33">
        <v>209114994623.52374</v>
      </c>
      <c r="K14" s="33">
        <v>209114994623.52374</v>
      </c>
      <c r="L14" s="33">
        <v>209114994623.52374</v>
      </c>
      <c r="M14" s="33">
        <v>209114994623.52374</v>
      </c>
      <c r="N14" s="38"/>
    </row>
    <row r="15" spans="2:14" ht="21" customHeight="1" x14ac:dyDescent="0.2">
      <c r="B15" s="29" t="s">
        <v>66</v>
      </c>
      <c r="C15" s="32">
        <v>43246250751.929543</v>
      </c>
      <c r="D15" s="33">
        <v>43882638908.523056</v>
      </c>
      <c r="E15" s="33">
        <v>48089700506.106056</v>
      </c>
      <c r="F15" s="33">
        <v>48375486289.324608</v>
      </c>
      <c r="G15" s="33">
        <v>48255300289.324608</v>
      </c>
      <c r="H15" s="33">
        <v>48361611488.980263</v>
      </c>
      <c r="I15" s="33">
        <v>48565437022.198814</v>
      </c>
      <c r="J15" s="33">
        <v>48565437022.198814</v>
      </c>
      <c r="K15" s="33">
        <v>49558143571.854462</v>
      </c>
      <c r="L15" s="33">
        <v>49889045755.073013</v>
      </c>
      <c r="M15" s="33">
        <v>49889045755.073013</v>
      </c>
      <c r="N15" s="39"/>
    </row>
    <row r="16" spans="2:14" s="30" customFormat="1" ht="21" customHeight="1" x14ac:dyDescent="0.2">
      <c r="B16" s="29" t="s">
        <v>20</v>
      </c>
      <c r="C16" s="34">
        <v>248555490720.72696</v>
      </c>
      <c r="D16" s="35">
        <v>247725126742.11261</v>
      </c>
      <c r="E16" s="35">
        <v>264727726609.62979</v>
      </c>
      <c r="F16" s="35">
        <v>264273661472.84836</v>
      </c>
      <c r="G16" s="35">
        <v>262845412632.84836</v>
      </c>
      <c r="H16" s="35">
        <v>258128283672.504</v>
      </c>
      <c r="I16" s="35">
        <v>257680431645.72256</v>
      </c>
      <c r="J16" s="35">
        <v>257680431645.72256</v>
      </c>
      <c r="K16" s="35">
        <v>258673138195.3782</v>
      </c>
      <c r="L16" s="35">
        <v>259004040378.59674</v>
      </c>
      <c r="M16" s="35">
        <v>259004040378.59674</v>
      </c>
      <c r="N16" s="40"/>
    </row>
    <row r="17" spans="2:14" ht="21" customHeight="1" x14ac:dyDescent="0.2">
      <c r="B17" s="29" t="s">
        <v>67</v>
      </c>
      <c r="C17" s="32">
        <v>48908.34784277327</v>
      </c>
      <c r="D17" s="33">
        <v>49187.896077123289</v>
      </c>
      <c r="E17" s="33">
        <v>52467.582991632633</v>
      </c>
      <c r="F17" s="33">
        <v>52390.85299163263</v>
      </c>
      <c r="G17" s="33">
        <v>52256.562991632636</v>
      </c>
      <c r="H17" s="33">
        <v>51268.56632496597</v>
      </c>
      <c r="I17" s="33">
        <v>51125.732991632634</v>
      </c>
      <c r="J17" s="33">
        <v>51125.232991632634</v>
      </c>
      <c r="K17" s="33">
        <v>51125.232991632634</v>
      </c>
      <c r="L17" s="33">
        <v>51125.232991632634</v>
      </c>
      <c r="M17" s="33">
        <v>51125.232991632634</v>
      </c>
      <c r="N17" s="39"/>
    </row>
    <row r="18" spans="2:14" ht="21" customHeight="1" thickBot="1" x14ac:dyDescent="0.25">
      <c r="B18" s="29" t="s">
        <v>68</v>
      </c>
      <c r="C18" s="36">
        <v>0.80525498994983757</v>
      </c>
      <c r="D18" s="37">
        <v>0.80985763184168136</v>
      </c>
      <c r="E18" s="37">
        <v>0.86385627153958866</v>
      </c>
      <c r="F18" s="37">
        <v>0.86259294496847894</v>
      </c>
      <c r="G18" s="37">
        <v>0.86038191766189331</v>
      </c>
      <c r="H18" s="37">
        <v>0.84411497590289675</v>
      </c>
      <c r="I18" s="37">
        <v>0.84176328627380548</v>
      </c>
      <c r="J18" s="37">
        <v>0.84175505398805606</v>
      </c>
      <c r="K18" s="37">
        <v>0.84175505398805606</v>
      </c>
      <c r="L18" s="37">
        <v>0.84175505398805606</v>
      </c>
      <c r="M18" s="37">
        <v>0.84175505398805606</v>
      </c>
      <c r="N18" s="41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Office'!C14:M14</xm:f>
              <xm:sqref>N14</xm:sqref>
            </x14:sparkline>
            <x14:sparkline>
              <xm:f>'TE Office'!C15:M15</xm:f>
              <xm:sqref>N15</xm:sqref>
            </x14:sparkline>
            <x14:sparkline>
              <xm:f>'TE Office'!C16:M16</xm:f>
              <xm:sqref>N16</xm:sqref>
            </x14:sparkline>
            <x14:sparkline>
              <xm:f>'TE Office'!C17:M17</xm:f>
              <xm:sqref>N17</xm:sqref>
            </x14:sparkline>
            <x14:sparkline>
              <xm:f>'TE Office'!C18:M18</xm:f>
              <xm:sqref>N18</xm:sqref>
            </x14:sparkline>
          </x14:sparklines>
        </x14:sparklineGroup>
        <x14:sparklineGroup displayEmptyCellsAs="gap" xr2:uid="{F5ADDBC2-ACC9-B94C-98B6-A764A5F6C6A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Office'!C5:M5</xm:f>
              <xm:sqref>N5</xm:sqref>
            </x14:sparkline>
            <x14:sparkline>
              <xm:f>'TE Office'!C6:M6</xm:f>
              <xm:sqref>N6</xm:sqref>
            </x14:sparkline>
            <x14:sparkline>
              <xm:f>'TE Office'!C7:M7</xm:f>
              <xm:sqref>N7</xm:sqref>
            </x14:sparkline>
            <x14:sparkline>
              <xm:f>'TE Office'!C8:M8</xm:f>
              <xm:sqref>N8</xm:sqref>
            </x14:sparkline>
            <x14:sparkline>
              <xm:f>'TE Office'!C9:M9</xm:f>
              <xm:sqref>N9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EC7-2209-0F42-BD2A-95C3CA7667E1}">
  <sheetPr>
    <pageSetUpPr fitToPage="1"/>
  </sheetPr>
  <dimension ref="B3:N41"/>
  <sheetViews>
    <sheetView showGridLines="0" tabSelected="1" zoomScaleNormal="100" workbookViewId="0">
      <selection activeCell="L52" sqref="L52"/>
    </sheetView>
  </sheetViews>
  <sheetFormatPr baseColWidth="10" defaultRowHeight="16" x14ac:dyDescent="0.2"/>
  <cols>
    <col min="1" max="1" width="10.83203125" style="1"/>
    <col min="2" max="2" width="10.83203125" style="29"/>
    <col min="3" max="13" width="17.83203125" style="1" customWidth="1"/>
    <col min="14" max="16384" width="10.83203125" style="1"/>
  </cols>
  <sheetData>
    <row r="3" spans="2:14" ht="21" customHeight="1" x14ac:dyDescent="0.2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/>
    </row>
    <row r="4" spans="2:14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6"/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234112377164.88779</v>
      </c>
      <c r="I5" s="33">
        <v>233453759109.84375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53284636661.528358</v>
      </c>
      <c r="I6" s="33">
        <v>53557182358.198814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287397013826.41614</v>
      </c>
      <c r="I7" s="35">
        <v>287010941468.04254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2">
      <c r="B8" s="29" t="s">
        <v>67</v>
      </c>
      <c r="C8" s="32">
        <v>48983.76617610659</v>
      </c>
      <c r="D8" s="33">
        <v>51036.255243789958</v>
      </c>
      <c r="E8" s="33">
        <v>54798.683823958658</v>
      </c>
      <c r="F8" s="33">
        <v>54936.603823958663</v>
      </c>
      <c r="G8" s="33">
        <v>54939.103823958663</v>
      </c>
      <c r="H8" s="33">
        <v>56457.980490625334</v>
      </c>
      <c r="I8" s="33">
        <v>56319.642991632638</v>
      </c>
      <c r="J8" s="33">
        <v>56319.642991632638</v>
      </c>
      <c r="K8" s="33">
        <v>56319.642991632638</v>
      </c>
      <c r="L8" s="33">
        <v>56319.642991632638</v>
      </c>
      <c r="M8" s="33">
        <v>56319.642991632638</v>
      </c>
      <c r="N8" s="39"/>
    </row>
    <row r="9" spans="2:14" ht="21" customHeight="1" thickBot="1" x14ac:dyDescent="0.25">
      <c r="B9" s="29" t="s">
        <v>68</v>
      </c>
      <c r="C9" s="36">
        <v>0.80649672049133092</v>
      </c>
      <c r="D9" s="37">
        <v>0.84029007349689022</v>
      </c>
      <c r="E9" s="37">
        <v>0.90223684786453839</v>
      </c>
      <c r="F9" s="37">
        <v>0.90450764156566521</v>
      </c>
      <c r="G9" s="37">
        <v>0.90454880299441243</v>
      </c>
      <c r="H9" s="37">
        <v>0.92955645647073892</v>
      </c>
      <c r="I9" s="37">
        <v>0.92727878882759629</v>
      </c>
      <c r="J9" s="37">
        <v>0.92727878882759629</v>
      </c>
      <c r="K9" s="37">
        <v>0.92727878882759629</v>
      </c>
      <c r="L9" s="37">
        <v>0.92727878882759629</v>
      </c>
      <c r="M9" s="37">
        <v>0.92727878882759629</v>
      </c>
      <c r="N9" s="41"/>
    </row>
    <row r="18" spans="2:14" s="6" customFormat="1" ht="21" customHeight="1" x14ac:dyDescent="0.2">
      <c r="B18" s="29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  <c r="I18" s="6">
        <v>6</v>
      </c>
      <c r="J18" s="6">
        <v>7</v>
      </c>
      <c r="K18" s="6">
        <v>8</v>
      </c>
      <c r="L18" s="6">
        <v>9</v>
      </c>
      <c r="M18" s="6">
        <v>10</v>
      </c>
    </row>
    <row r="19" spans="2:14" s="6" customFormat="1" ht="21" customHeight="1" thickBot="1" x14ac:dyDescent="0.25">
      <c r="B19" s="29" t="s">
        <v>64</v>
      </c>
      <c r="C19" s="31">
        <v>44926</v>
      </c>
      <c r="D19" s="31">
        <v>45291</v>
      </c>
      <c r="E19" s="31">
        <v>45657</v>
      </c>
      <c r="F19" s="31">
        <v>46022</v>
      </c>
      <c r="G19" s="31">
        <v>46387</v>
      </c>
      <c r="H19" s="31">
        <v>46752</v>
      </c>
      <c r="I19" s="31">
        <v>47118</v>
      </c>
      <c r="J19" s="31">
        <v>47483</v>
      </c>
      <c r="K19" s="31">
        <v>47848</v>
      </c>
      <c r="L19" s="31">
        <v>48213</v>
      </c>
      <c r="M19" s="31">
        <v>48579</v>
      </c>
    </row>
    <row r="20" spans="2:14" ht="21" customHeight="1" x14ac:dyDescent="0.2">
      <c r="B20" s="29" t="s">
        <v>65</v>
      </c>
      <c r="C20" s="32">
        <v>205647908168.79742</v>
      </c>
      <c r="D20" s="33">
        <v>212032230069.90952</v>
      </c>
      <c r="E20" s="33">
        <v>226133977884.88779</v>
      </c>
      <c r="F20" s="33">
        <v>226054942964.88779</v>
      </c>
      <c r="G20" s="33">
        <v>225292846164.88779</v>
      </c>
      <c r="H20" s="33">
        <v>232154544244.88779</v>
      </c>
      <c r="I20" s="33">
        <v>231460133289.84375</v>
      </c>
      <c r="J20" s="33">
        <v>231460133289.84375</v>
      </c>
      <c r="K20" s="33">
        <v>231460133289.84375</v>
      </c>
      <c r="L20" s="33">
        <v>231460133289.84375</v>
      </c>
      <c r="M20" s="33">
        <v>231460133289.84375</v>
      </c>
      <c r="N20" s="38"/>
    </row>
    <row r="21" spans="2:14" ht="21" customHeight="1" x14ac:dyDescent="0.2">
      <c r="B21" s="29" t="s">
        <v>66</v>
      </c>
      <c r="C21" s="32">
        <v>43304072151.929543</v>
      </c>
      <c r="D21" s="33">
        <v>45569654280.523056</v>
      </c>
      <c r="E21" s="33">
        <v>49989633078.714592</v>
      </c>
      <c r="F21" s="33">
        <v>50424740574.41803</v>
      </c>
      <c r="G21" s="33">
        <v>50426990574.41803</v>
      </c>
      <c r="H21" s="33">
        <v>52994597261.528358</v>
      </c>
      <c r="I21" s="33">
        <v>53262539158.198814</v>
      </c>
      <c r="J21" s="33">
        <v>53262539158.198814</v>
      </c>
      <c r="K21" s="33">
        <v>54456661657.854462</v>
      </c>
      <c r="L21" s="33">
        <v>54854702491.073013</v>
      </c>
      <c r="M21" s="33">
        <v>54854702491.073013</v>
      </c>
      <c r="N21" s="39"/>
    </row>
    <row r="22" spans="2:14" s="30" customFormat="1" ht="21" customHeight="1" x14ac:dyDescent="0.2">
      <c r="B22" s="29" t="s">
        <v>20</v>
      </c>
      <c r="C22" s="34">
        <v>248951980320.72696</v>
      </c>
      <c r="D22" s="35">
        <v>257601884350.43256</v>
      </c>
      <c r="E22" s="35">
        <v>276123610963.60236</v>
      </c>
      <c r="F22" s="35">
        <v>276479683539.30579</v>
      </c>
      <c r="G22" s="35">
        <v>275719836739.30579</v>
      </c>
      <c r="H22" s="35">
        <v>285149141506.41614</v>
      </c>
      <c r="I22" s="35">
        <v>284722672448.04254</v>
      </c>
      <c r="J22" s="35">
        <v>284722672448.04254</v>
      </c>
      <c r="K22" s="35">
        <v>285916794947.69824</v>
      </c>
      <c r="L22" s="35">
        <v>286314835780.91675</v>
      </c>
      <c r="M22" s="35">
        <v>286314835780.91675</v>
      </c>
      <c r="N22" s="40"/>
    </row>
    <row r="23" spans="2:14" ht="21" customHeight="1" x14ac:dyDescent="0.2">
      <c r="B23" s="29" t="s">
        <v>67</v>
      </c>
      <c r="C23" s="32">
        <v>48982.76617610659</v>
      </c>
      <c r="D23" s="33">
        <v>51035.255243789958</v>
      </c>
      <c r="E23" s="33">
        <v>54567.49382395867</v>
      </c>
      <c r="F23" s="33">
        <v>54628.683823958658</v>
      </c>
      <c r="G23" s="33">
        <v>54631.183823958658</v>
      </c>
      <c r="H23" s="33">
        <v>56150.060490625328</v>
      </c>
      <c r="I23" s="33">
        <v>56011.72299163264</v>
      </c>
      <c r="J23" s="33">
        <v>56011.72299163264</v>
      </c>
      <c r="K23" s="33">
        <v>56011.72299163264</v>
      </c>
      <c r="L23" s="33">
        <v>56011.72299163264</v>
      </c>
      <c r="M23" s="33">
        <v>56011.72299163264</v>
      </c>
      <c r="N23" s="39"/>
    </row>
    <row r="24" spans="2:14" ht="21" customHeight="1" thickBot="1" x14ac:dyDescent="0.25">
      <c r="B24" s="29" t="s">
        <v>68</v>
      </c>
      <c r="C24" s="36">
        <v>0.80648025591983208</v>
      </c>
      <c r="D24" s="37">
        <v>0.84027360892539138</v>
      </c>
      <c r="E24" s="37">
        <v>0.89843040357971071</v>
      </c>
      <c r="F24" s="37">
        <v>0.89943787070972747</v>
      </c>
      <c r="G24" s="37">
        <v>0.89947903213847469</v>
      </c>
      <c r="H24" s="37">
        <v>0.92448668561480107</v>
      </c>
      <c r="I24" s="37">
        <v>0.92220901797165855</v>
      </c>
      <c r="J24" s="37">
        <v>0.92220901797165855</v>
      </c>
      <c r="K24" s="37">
        <v>0.92220901797165855</v>
      </c>
      <c r="L24" s="37">
        <v>0.92220901797165855</v>
      </c>
      <c r="M24" s="37">
        <v>0.92220901797165855</v>
      </c>
      <c r="N24" s="41"/>
    </row>
    <row r="25" spans="2:14" ht="21" customHeight="1" x14ac:dyDescent="0.2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</row>
    <row r="28" spans="2:14" s="6" customFormat="1" ht="21" customHeight="1" thickBot="1" x14ac:dyDescent="0.25">
      <c r="B28" s="29" t="s">
        <v>64</v>
      </c>
      <c r="C28" s="31">
        <v>44926</v>
      </c>
      <c r="D28" s="31">
        <v>45291</v>
      </c>
      <c r="E28" s="31">
        <v>45657</v>
      </c>
      <c r="F28" s="31">
        <v>46022</v>
      </c>
      <c r="G28" s="31">
        <v>46387</v>
      </c>
      <c r="H28" s="31">
        <v>46752</v>
      </c>
      <c r="I28" s="31">
        <v>47118</v>
      </c>
      <c r="J28" s="31">
        <v>47483</v>
      </c>
      <c r="K28" s="31">
        <v>47848</v>
      </c>
      <c r="L28" s="31">
        <v>48213</v>
      </c>
      <c r="M28" s="31">
        <v>48579</v>
      </c>
    </row>
    <row r="29" spans="2:14" ht="21" customHeight="1" x14ac:dyDescent="0.2">
      <c r="B29" s="29" t="s">
        <v>65</v>
      </c>
      <c r="C29" s="32">
        <v>205647908168.79742</v>
      </c>
      <c r="D29" s="33">
        <v>212032230069.90952</v>
      </c>
      <c r="E29" s="33">
        <v>226133977884.88779</v>
      </c>
      <c r="F29" s="33">
        <v>226054942964.88779</v>
      </c>
      <c r="G29" s="33">
        <v>225292846164.88779</v>
      </c>
      <c r="H29" s="33">
        <v>232154544244.88779</v>
      </c>
      <c r="I29" s="33">
        <v>231460133289.84375</v>
      </c>
      <c r="J29" s="33">
        <v>231460133289.84375</v>
      </c>
      <c r="K29" s="33">
        <v>231460133289.84375</v>
      </c>
      <c r="L29" s="33">
        <v>231460133289.84375</v>
      </c>
      <c r="M29" s="33">
        <v>231460133289.84375</v>
      </c>
      <c r="N29" s="38"/>
    </row>
    <row r="30" spans="2:14" ht="21" customHeight="1" x14ac:dyDescent="0.2">
      <c r="B30" s="29" t="s">
        <v>66</v>
      </c>
      <c r="C30" s="32">
        <v>43304072151.929543</v>
      </c>
      <c r="D30" s="33">
        <v>45569654280.523056</v>
      </c>
      <c r="E30" s="33">
        <v>49989633078.714592</v>
      </c>
      <c r="F30" s="33">
        <v>50424740574.41803</v>
      </c>
      <c r="G30" s="33">
        <v>50426990574.41803</v>
      </c>
      <c r="H30" s="33">
        <v>52994597261.528358</v>
      </c>
      <c r="I30" s="33">
        <v>53262539158.198814</v>
      </c>
      <c r="J30" s="33">
        <v>53262539158.198814</v>
      </c>
      <c r="K30" s="33">
        <v>54456661657.854462</v>
      </c>
      <c r="L30" s="33">
        <v>54854702491.073013</v>
      </c>
      <c r="M30" s="33">
        <v>54854702491.073013</v>
      </c>
      <c r="N30" s="39"/>
    </row>
    <row r="31" spans="2:14" s="30" customFormat="1" ht="21" customHeight="1" x14ac:dyDescent="0.2">
      <c r="B31" s="29" t="s">
        <v>20</v>
      </c>
      <c r="C31" s="34">
        <v>248951980320.72696</v>
      </c>
      <c r="D31" s="35">
        <v>257601884350.43256</v>
      </c>
      <c r="E31" s="35">
        <v>276123610963.60236</v>
      </c>
      <c r="F31" s="35">
        <v>276479683539.30579</v>
      </c>
      <c r="G31" s="35">
        <v>275719836739.30579</v>
      </c>
      <c r="H31" s="35">
        <v>285149141506.41614</v>
      </c>
      <c r="I31" s="35">
        <v>284722672448.04254</v>
      </c>
      <c r="J31" s="35">
        <v>284722672448.04254</v>
      </c>
      <c r="K31" s="35">
        <v>285916794947.69824</v>
      </c>
      <c r="L31" s="35">
        <v>286314835780.91675</v>
      </c>
      <c r="M31" s="35">
        <v>286314835780.91675</v>
      </c>
      <c r="N31" s="40"/>
    </row>
    <row r="32" spans="2:14" ht="21" customHeight="1" x14ac:dyDescent="0.2">
      <c r="B32" s="29" t="s">
        <v>67</v>
      </c>
      <c r="C32" s="32">
        <v>48982.76617610659</v>
      </c>
      <c r="D32" s="33">
        <v>51035.255243789958</v>
      </c>
      <c r="E32" s="33">
        <v>54567.49382395867</v>
      </c>
      <c r="F32" s="33">
        <v>54628.683823958658</v>
      </c>
      <c r="G32" s="33">
        <v>54631.183823958658</v>
      </c>
      <c r="H32" s="33">
        <v>56150.060490625328</v>
      </c>
      <c r="I32" s="33">
        <v>56011.72299163264</v>
      </c>
      <c r="J32" s="33">
        <v>56011.72299163264</v>
      </c>
      <c r="K32" s="33">
        <v>56011.72299163264</v>
      </c>
      <c r="L32" s="33">
        <v>56011.72299163264</v>
      </c>
      <c r="M32" s="33">
        <v>56011.72299163264</v>
      </c>
      <c r="N32" s="39"/>
    </row>
    <row r="33" spans="2:14" ht="21" customHeight="1" thickBot="1" x14ac:dyDescent="0.25">
      <c r="B33" s="29" t="s">
        <v>68</v>
      </c>
      <c r="C33" s="36">
        <v>0.80648025591983208</v>
      </c>
      <c r="D33" s="37">
        <v>0.84027360892539138</v>
      </c>
      <c r="E33" s="37">
        <v>0.89843040357971071</v>
      </c>
      <c r="F33" s="37">
        <v>0.89943787070972747</v>
      </c>
      <c r="G33" s="37">
        <v>0.89947903213847469</v>
      </c>
      <c r="H33" s="37">
        <v>0.92448668561480107</v>
      </c>
      <c r="I33" s="37">
        <v>0.92220901797165855</v>
      </c>
      <c r="J33" s="37">
        <v>0.92220901797165855</v>
      </c>
      <c r="K33" s="37">
        <v>0.92220901797165855</v>
      </c>
      <c r="L33" s="37">
        <v>0.92220901797165855</v>
      </c>
      <c r="M33" s="37">
        <v>0.92220901797165855</v>
      </c>
      <c r="N33" s="41"/>
    </row>
    <row r="36" spans="2:14" x14ac:dyDescent="0.2">
      <c r="C36" s="112">
        <f>C20-C29</f>
        <v>0</v>
      </c>
      <c r="D36" s="112">
        <f t="shared" ref="D36:M36" si="0">D20-D29</f>
        <v>0</v>
      </c>
      <c r="E36" s="112">
        <f t="shared" si="0"/>
        <v>0</v>
      </c>
      <c r="F36" s="112">
        <f t="shared" si="0"/>
        <v>0</v>
      </c>
      <c r="G36" s="112">
        <f t="shared" si="0"/>
        <v>0</v>
      </c>
      <c r="H36" s="112">
        <f t="shared" si="0"/>
        <v>0</v>
      </c>
      <c r="I36" s="112">
        <f t="shared" si="0"/>
        <v>0</v>
      </c>
      <c r="J36" s="112">
        <f t="shared" si="0"/>
        <v>0</v>
      </c>
      <c r="K36" s="112">
        <f t="shared" si="0"/>
        <v>0</v>
      </c>
      <c r="L36" s="112">
        <f t="shared" si="0"/>
        <v>0</v>
      </c>
      <c r="M36" s="112">
        <f t="shared" si="0"/>
        <v>0</v>
      </c>
    </row>
    <row r="37" spans="2:14" x14ac:dyDescent="0.2">
      <c r="C37" s="112">
        <f t="shared" ref="C37:M41" si="1">C21-C30</f>
        <v>0</v>
      </c>
      <c r="D37" s="112">
        <f t="shared" si="1"/>
        <v>0</v>
      </c>
      <c r="E37" s="112">
        <f t="shared" si="1"/>
        <v>0</v>
      </c>
      <c r="F37" s="112">
        <f t="shared" si="1"/>
        <v>0</v>
      </c>
      <c r="G37" s="112">
        <f t="shared" si="1"/>
        <v>0</v>
      </c>
      <c r="H37" s="112">
        <f t="shared" si="1"/>
        <v>0</v>
      </c>
      <c r="I37" s="112">
        <f t="shared" si="1"/>
        <v>0</v>
      </c>
      <c r="J37" s="112">
        <f t="shared" si="1"/>
        <v>0</v>
      </c>
      <c r="K37" s="112">
        <f t="shared" si="1"/>
        <v>0</v>
      </c>
      <c r="L37" s="112">
        <f t="shared" si="1"/>
        <v>0</v>
      </c>
      <c r="M37" s="112">
        <f t="shared" si="1"/>
        <v>0</v>
      </c>
    </row>
    <row r="38" spans="2:14" x14ac:dyDescent="0.2">
      <c r="C38" s="112">
        <f t="shared" si="1"/>
        <v>0</v>
      </c>
      <c r="D38" s="112">
        <f t="shared" si="1"/>
        <v>0</v>
      </c>
      <c r="E38" s="112">
        <f t="shared" si="1"/>
        <v>0</v>
      </c>
      <c r="F38" s="112">
        <f t="shared" si="1"/>
        <v>0</v>
      </c>
      <c r="G38" s="112">
        <f t="shared" si="1"/>
        <v>0</v>
      </c>
      <c r="H38" s="112">
        <f t="shared" si="1"/>
        <v>0</v>
      </c>
      <c r="I38" s="112">
        <f t="shared" si="1"/>
        <v>0</v>
      </c>
      <c r="J38" s="112">
        <f t="shared" si="1"/>
        <v>0</v>
      </c>
      <c r="K38" s="112">
        <f t="shared" si="1"/>
        <v>0</v>
      </c>
      <c r="L38" s="112">
        <f t="shared" si="1"/>
        <v>0</v>
      </c>
      <c r="M38" s="112">
        <f t="shared" si="1"/>
        <v>0</v>
      </c>
    </row>
    <row r="39" spans="2:14" x14ac:dyDescent="0.2">
      <c r="C39" s="112">
        <f t="shared" si="1"/>
        <v>0</v>
      </c>
      <c r="D39" s="112">
        <f t="shared" si="1"/>
        <v>0</v>
      </c>
      <c r="E39" s="112">
        <f t="shared" si="1"/>
        <v>0</v>
      </c>
      <c r="F39" s="112">
        <f t="shared" si="1"/>
        <v>0</v>
      </c>
      <c r="G39" s="112">
        <f t="shared" si="1"/>
        <v>0</v>
      </c>
      <c r="H39" s="112">
        <f t="shared" si="1"/>
        <v>0</v>
      </c>
      <c r="I39" s="112">
        <f t="shared" si="1"/>
        <v>0</v>
      </c>
      <c r="J39" s="112">
        <f t="shared" si="1"/>
        <v>0</v>
      </c>
      <c r="K39" s="112">
        <f t="shared" si="1"/>
        <v>0</v>
      </c>
      <c r="L39" s="112">
        <f t="shared" si="1"/>
        <v>0</v>
      </c>
      <c r="M39" s="112">
        <f t="shared" si="1"/>
        <v>0</v>
      </c>
    </row>
    <row r="40" spans="2:14" x14ac:dyDescent="0.2">
      <c r="C40" s="112">
        <f t="shared" si="1"/>
        <v>0</v>
      </c>
      <c r="D40" s="112">
        <f t="shared" si="1"/>
        <v>0</v>
      </c>
      <c r="E40" s="112">
        <f t="shared" si="1"/>
        <v>0</v>
      </c>
      <c r="F40" s="112">
        <f t="shared" si="1"/>
        <v>0</v>
      </c>
      <c r="G40" s="112">
        <f t="shared" si="1"/>
        <v>0</v>
      </c>
      <c r="H40" s="112">
        <f t="shared" si="1"/>
        <v>0</v>
      </c>
      <c r="I40" s="112">
        <f t="shared" si="1"/>
        <v>0</v>
      </c>
      <c r="J40" s="112">
        <f t="shared" si="1"/>
        <v>0</v>
      </c>
      <c r="K40" s="112">
        <f t="shared" si="1"/>
        <v>0</v>
      </c>
      <c r="L40" s="112">
        <f t="shared" si="1"/>
        <v>0</v>
      </c>
      <c r="M40" s="112">
        <f t="shared" si="1"/>
        <v>0</v>
      </c>
    </row>
    <row r="41" spans="2:14" x14ac:dyDescent="0.2">
      <c r="C41" s="112">
        <f t="shared" si="1"/>
        <v>0</v>
      </c>
      <c r="D41" s="112">
        <f t="shared" si="1"/>
        <v>0</v>
      </c>
      <c r="E41" s="112">
        <f t="shared" si="1"/>
        <v>0</v>
      </c>
      <c r="F41" s="112">
        <f t="shared" si="1"/>
        <v>0</v>
      </c>
      <c r="G41" s="112">
        <f t="shared" si="1"/>
        <v>0</v>
      </c>
      <c r="H41" s="112">
        <f t="shared" si="1"/>
        <v>0</v>
      </c>
      <c r="I41" s="112">
        <f t="shared" si="1"/>
        <v>0</v>
      </c>
      <c r="J41" s="112">
        <f t="shared" si="1"/>
        <v>0</v>
      </c>
      <c r="K41" s="112">
        <f t="shared" si="1"/>
        <v>0</v>
      </c>
      <c r="L41" s="112">
        <f t="shared" si="1"/>
        <v>0</v>
      </c>
      <c r="M41" s="112">
        <f t="shared" si="1"/>
        <v>0</v>
      </c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EB3746F-C49E-704D-A70B-BBE68538AD9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Old'!C29:M29</xm:f>
              <xm:sqref>N29</xm:sqref>
            </x14:sparkline>
            <x14:sparkline>
              <xm:f>'TE Office Old'!C30:M30</xm:f>
              <xm:sqref>N30</xm:sqref>
            </x14:sparkline>
            <x14:sparkline>
              <xm:f>'TE Office Old'!C31:M31</xm:f>
              <xm:sqref>N31</xm:sqref>
            </x14:sparkline>
            <x14:sparkline>
              <xm:f>'TE Office Old'!C32:M32</xm:f>
              <xm:sqref>N32</xm:sqref>
            </x14:sparkline>
            <x14:sparkline>
              <xm:f>'TE Office Old'!C33:M33</xm:f>
              <xm:sqref>N33</xm:sqref>
            </x14:sparkline>
          </x14:sparklines>
        </x14:sparklineGroup>
        <x14:sparklineGroup displayEmptyCellsAs="gap" xr2:uid="{D6EB2B09-F17B-3C44-89C9-D9FDDB189892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Old'!C20:M20</xm:f>
              <xm:sqref>N20</xm:sqref>
            </x14:sparkline>
            <x14:sparkline>
              <xm:f>'TE Office Old'!C21:M21</xm:f>
              <xm:sqref>N21</xm:sqref>
            </x14:sparkline>
            <x14:sparkline>
              <xm:f>'TE Office Old'!C22:M22</xm:f>
              <xm:sqref>N22</xm:sqref>
            </x14:sparkline>
            <x14:sparkline>
              <xm:f>'TE Office Old'!C23:M23</xm:f>
              <xm:sqref>N23</xm:sqref>
            </x14:sparkline>
            <x14:sparkline>
              <xm:f>'TE Office Old'!C24:M24</xm:f>
              <xm:sqref>N24</xm:sqref>
            </x14:sparkline>
          </x14:sparklines>
        </x14:sparklineGroup>
        <x14:sparklineGroup displayEmptyCellsAs="gap" xr2:uid="{C71BF03F-71C7-CA48-A8E0-2F94EBAEAF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Old'!C5:M5</xm:f>
              <xm:sqref>N5</xm:sqref>
            </x14:sparkline>
            <x14:sparkline>
              <xm:f>'TE Office Old'!C6:M6</xm:f>
              <xm:sqref>N6</xm:sqref>
            </x14:sparkline>
            <x14:sparkline>
              <xm:f>'TE Office Old'!C7:M7</xm:f>
              <xm:sqref>N7</xm:sqref>
            </x14:sparkline>
            <x14:sparkline>
              <xm:f>'TE Office Old'!C8:M8</xm:f>
              <xm:sqref>N8</xm:sqref>
            </x14:sparkline>
            <x14:sparkline>
              <xm:f>'TE Office Old'!C9:M9</xm:f>
              <xm:sqref>N9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C0F-26F7-5E42-81F8-C83CEA16F2A6}">
  <sheetPr>
    <pageSetUpPr fitToPage="1"/>
  </sheetPr>
  <dimension ref="C5:N46"/>
  <sheetViews>
    <sheetView showGridLines="0" topLeftCell="A5" workbookViewId="0">
      <selection activeCell="G10" sqref="G10"/>
    </sheetView>
  </sheetViews>
  <sheetFormatPr baseColWidth="10" defaultRowHeight="16" x14ac:dyDescent="0.2"/>
  <cols>
    <col min="2" max="2" width="3.83203125" customWidth="1"/>
    <col min="3" max="14" width="27.6640625" customWidth="1"/>
  </cols>
  <sheetData>
    <row r="5" spans="3:14" ht="19" x14ac:dyDescent="0.25">
      <c r="C5" s="88"/>
    </row>
    <row r="7" spans="3:14" s="84" customFormat="1" x14ac:dyDescent="0.2">
      <c r="C7" s="85">
        <v>2023</v>
      </c>
      <c r="D7" s="86">
        <v>2024</v>
      </c>
      <c r="E7" s="86">
        <v>2025</v>
      </c>
      <c r="F7" s="86">
        <v>2026</v>
      </c>
      <c r="G7" s="86">
        <v>2027</v>
      </c>
      <c r="H7" s="86">
        <v>2028</v>
      </c>
      <c r="I7" s="86">
        <v>2029</v>
      </c>
      <c r="J7" s="86">
        <v>2030</v>
      </c>
      <c r="K7" s="86">
        <v>2031</v>
      </c>
      <c r="L7" s="86">
        <v>2032</v>
      </c>
      <c r="M7" s="86">
        <v>2033</v>
      </c>
      <c r="N7" s="87">
        <v>2034</v>
      </c>
    </row>
    <row r="8" spans="3:14" s="83" customFormat="1" x14ac:dyDescent="0.2">
      <c r="C8" s="97" t="s">
        <v>102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3:14" x14ac:dyDescent="0.2">
      <c r="C9" s="90" t="s">
        <v>80</v>
      </c>
      <c r="D9" s="90" t="s">
        <v>87</v>
      </c>
      <c r="E9" s="91" t="s">
        <v>92</v>
      </c>
      <c r="F9" s="90"/>
      <c r="G9" s="91" t="s">
        <v>95</v>
      </c>
      <c r="H9" s="91" t="s">
        <v>97</v>
      </c>
      <c r="I9" s="90"/>
      <c r="J9" s="90"/>
      <c r="K9" s="90"/>
      <c r="L9" s="90"/>
      <c r="M9" s="90"/>
      <c r="N9" s="90"/>
    </row>
    <row r="10" spans="3:14" x14ac:dyDescent="0.2">
      <c r="C10" s="90" t="s">
        <v>81</v>
      </c>
      <c r="D10" s="91" t="s">
        <v>88</v>
      </c>
      <c r="E10" s="90" t="s">
        <v>93</v>
      </c>
      <c r="F10" s="90"/>
      <c r="G10" s="91" t="s">
        <v>96</v>
      </c>
      <c r="H10" s="90"/>
      <c r="I10" s="90"/>
      <c r="J10" s="90"/>
      <c r="K10" s="90"/>
      <c r="L10" s="90"/>
      <c r="M10" s="90"/>
      <c r="N10" s="90"/>
    </row>
    <row r="11" spans="3:14" x14ac:dyDescent="0.2">
      <c r="C11" s="90" t="s">
        <v>82</v>
      </c>
      <c r="D11" s="90" t="s">
        <v>89</v>
      </c>
      <c r="E11" s="90" t="s">
        <v>94</v>
      </c>
      <c r="F11" s="90"/>
      <c r="G11" s="90"/>
      <c r="H11" s="90"/>
      <c r="I11" s="90"/>
      <c r="J11" s="90"/>
      <c r="K11" s="90"/>
      <c r="L11" s="90"/>
      <c r="M11" s="90"/>
      <c r="N11" s="90"/>
    </row>
    <row r="12" spans="3:14" x14ac:dyDescent="0.2">
      <c r="C12" s="90" t="s">
        <v>91</v>
      </c>
      <c r="D12" s="91" t="s">
        <v>90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3:14" x14ac:dyDescent="0.2">
      <c r="C13" s="90" t="s">
        <v>83</v>
      </c>
      <c r="D13" s="90" t="s">
        <v>106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3:14" x14ac:dyDescent="0.2">
      <c r="C14" s="90" t="s">
        <v>84</v>
      </c>
      <c r="D14" s="90" t="s">
        <v>104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3:14" x14ac:dyDescent="0.2">
      <c r="C15" s="90" t="s">
        <v>85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3:14" x14ac:dyDescent="0.2">
      <c r="C16" s="90" t="s">
        <v>86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3:14" x14ac:dyDescent="0.2">
      <c r="C17" s="90" t="s">
        <v>107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3:14" x14ac:dyDescent="0.2">
      <c r="C18" s="90" t="s">
        <v>108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3:14" x14ac:dyDescent="0.2">
      <c r="C19" s="90" t="s">
        <v>109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3:14" x14ac:dyDescent="0.2"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</row>
    <row r="21" spans="3:14" s="83" customFormat="1" x14ac:dyDescent="0.2">
      <c r="C21" s="96" t="s">
        <v>101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3:14" x14ac:dyDescent="0.2">
      <c r="C22" s="90" t="s">
        <v>98</v>
      </c>
      <c r="D22" s="90" t="s">
        <v>105</v>
      </c>
      <c r="E22" s="90"/>
      <c r="G22" s="90" t="s">
        <v>100</v>
      </c>
      <c r="H22" s="90"/>
      <c r="I22" s="90"/>
      <c r="J22" s="90"/>
      <c r="K22" s="90"/>
      <c r="L22" s="90"/>
      <c r="M22" s="90"/>
      <c r="N22" s="90"/>
    </row>
    <row r="23" spans="3:14" x14ac:dyDescent="0.2">
      <c r="C23" s="90" t="s">
        <v>99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</row>
    <row r="24" spans="3:14" x14ac:dyDescent="0.2"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7" spans="3:14" x14ac:dyDescent="0.2">
      <c r="C27" s="83"/>
    </row>
    <row r="29" spans="3:14" s="84" customFormat="1" x14ac:dyDescent="0.2">
      <c r="C29" s="85">
        <v>2023</v>
      </c>
      <c r="D29" s="86">
        <v>2024</v>
      </c>
      <c r="E29" s="86">
        <v>2025</v>
      </c>
      <c r="F29" s="86">
        <v>2026</v>
      </c>
      <c r="G29" s="86">
        <v>2027</v>
      </c>
      <c r="H29" s="86">
        <v>2028</v>
      </c>
      <c r="I29" s="86">
        <v>2029</v>
      </c>
      <c r="J29" s="86">
        <v>2030</v>
      </c>
      <c r="K29" s="86">
        <v>2031</v>
      </c>
      <c r="L29" s="86">
        <v>2032</v>
      </c>
      <c r="M29" s="86">
        <v>2033</v>
      </c>
      <c r="N29" s="87">
        <v>2034</v>
      </c>
    </row>
    <row r="30" spans="3:14" s="83" customFormat="1" x14ac:dyDescent="0.2">
      <c r="C30" s="97" t="s">
        <v>102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</row>
    <row r="31" spans="3:14" x14ac:dyDescent="0.2">
      <c r="C31" s="90" t="s">
        <v>80</v>
      </c>
      <c r="D31" s="90" t="s">
        <v>87</v>
      </c>
      <c r="E31" s="90" t="s">
        <v>93</v>
      </c>
      <c r="F31" s="90"/>
      <c r="G31" s="90"/>
      <c r="H31" s="90"/>
      <c r="I31" s="90"/>
      <c r="J31" s="90"/>
      <c r="K31" s="90"/>
      <c r="L31" s="90"/>
      <c r="M31" s="90"/>
      <c r="N31" s="90"/>
    </row>
    <row r="32" spans="3:14" x14ac:dyDescent="0.2">
      <c r="C32" s="90" t="s">
        <v>81</v>
      </c>
      <c r="D32" s="90" t="s">
        <v>89</v>
      </c>
      <c r="E32" s="90" t="s">
        <v>94</v>
      </c>
      <c r="F32" s="90"/>
      <c r="G32" s="90"/>
      <c r="H32" s="90"/>
      <c r="I32" s="90"/>
      <c r="J32" s="90"/>
      <c r="K32" s="90"/>
      <c r="L32" s="90"/>
      <c r="M32" s="90"/>
      <c r="N32" s="90"/>
    </row>
    <row r="33" spans="3:14" x14ac:dyDescent="0.2">
      <c r="C33" s="90" t="s">
        <v>82</v>
      </c>
      <c r="D33" s="90" t="s">
        <v>106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3:14" x14ac:dyDescent="0.2">
      <c r="C34" s="90" t="s">
        <v>91</v>
      </c>
      <c r="D34" s="90" t="s">
        <v>104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3:14" x14ac:dyDescent="0.2">
      <c r="C35" s="90" t="s">
        <v>83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3:14" x14ac:dyDescent="0.2">
      <c r="C36" s="90" t="s">
        <v>84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3:14" x14ac:dyDescent="0.2">
      <c r="C37" s="90" t="s">
        <v>85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</row>
    <row r="38" spans="3:14" x14ac:dyDescent="0.2">
      <c r="C38" s="90" t="s">
        <v>86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3:14" x14ac:dyDescent="0.2">
      <c r="C39" s="90" t="s">
        <v>107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3:14" x14ac:dyDescent="0.2">
      <c r="C40" s="90" t="s">
        <v>108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3:14" x14ac:dyDescent="0.2">
      <c r="C41" s="90" t="s">
        <v>109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3:14" x14ac:dyDescent="0.2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3:14" s="83" customFormat="1" x14ac:dyDescent="0.2">
      <c r="C43" s="96" t="s">
        <v>101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3:14" x14ac:dyDescent="0.2">
      <c r="C44" s="90" t="s">
        <v>98</v>
      </c>
      <c r="D44" s="90"/>
      <c r="E44" s="94" t="s">
        <v>103</v>
      </c>
      <c r="F44" s="90" t="s">
        <v>105</v>
      </c>
      <c r="G44" s="90" t="s">
        <v>100</v>
      </c>
      <c r="H44" s="90"/>
      <c r="I44" s="90"/>
      <c r="J44" s="90"/>
      <c r="K44" s="90"/>
      <c r="L44" s="90"/>
      <c r="M44" s="90"/>
      <c r="N44" s="90"/>
    </row>
    <row r="45" spans="3:14" x14ac:dyDescent="0.2">
      <c r="C45" s="90" t="s">
        <v>99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</row>
    <row r="46" spans="3:14" x14ac:dyDescent="0.2">
      <c r="C46" s="95" t="s">
        <v>110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</sheetData>
  <printOptions horizontalCentered="1"/>
  <pageMargins left="0.2" right="0.2" top="0.75" bottom="0.75" header="0.3" footer="0.3"/>
  <pageSetup paperSize="9" scale="39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5"/>
  <sheetViews>
    <sheetView showGridLines="0" zoomScale="200" zoomScaleNormal="100" workbookViewId="0">
      <selection activeCell="F43" sqref="F43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P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817380000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B7" s="53" t="s">
        <v>115</v>
      </c>
    </row>
    <row r="8" spans="2:17" x14ac:dyDescent="0.2">
      <c r="B8" s="42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7" x14ac:dyDescent="0.2">
      <c r="B9" s="42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7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7" x14ac:dyDescent="0.2">
      <c r="B11" s="47">
        <v>2022</v>
      </c>
    </row>
    <row r="12" spans="2:17" x14ac:dyDescent="0.2">
      <c r="B12" s="42" t="s">
        <v>77</v>
      </c>
      <c r="C12" s="8">
        <f>(751445363.1+615215363.1)/2</f>
        <v>683330363.10000002</v>
      </c>
    </row>
    <row r="13" spans="2:17" x14ac:dyDescent="0.2">
      <c r="B13" s="42" t="s">
        <v>62</v>
      </c>
      <c r="C13" s="8">
        <f>C12*12</f>
        <v>8199964357.2000008</v>
      </c>
    </row>
    <row r="15" spans="2:17" x14ac:dyDescent="0.2">
      <c r="B15" s="53" t="s">
        <v>61</v>
      </c>
    </row>
    <row r="16" spans="2:17" x14ac:dyDescent="0.2">
      <c r="B16" s="42" t="s">
        <v>78</v>
      </c>
      <c r="C16" s="8">
        <f>751445363.1</f>
        <v>751445363.10000002</v>
      </c>
    </row>
    <row r="17" spans="2:3" x14ac:dyDescent="0.2">
      <c r="B17" s="42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zoomScale="119" zoomScaleNormal="100" workbookViewId="0">
      <selection activeCell="P4" sqref="P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5500000000</v>
      </c>
      <c r="I4" s="8">
        <f>Table36712[[#This Row],[2024]]+I5</f>
        <v>6000000000</v>
      </c>
      <c r="J4" s="8">
        <f>Table36712[[#This Row],[2025]]+J5</f>
        <v>7000000000</v>
      </c>
      <c r="K4" s="8">
        <f>Table36712[[#This Row],[2026]]+K5</f>
        <v>7500000000</v>
      </c>
      <c r="L4" s="8">
        <f>Table36712[[#This Row],[2027]]+L5</f>
        <v>8000000000</v>
      </c>
      <c r="M4" s="8">
        <f>Table36712[[#This Row],[2028]]+M5</f>
        <v>8500000000</v>
      </c>
      <c r="N4" s="8">
        <f>Table36712[[#This Row],[2029]]+N5</f>
        <v>9000000000</v>
      </c>
      <c r="O4" s="8">
        <f>Table36712[[#This Row],[2030]]+O5</f>
        <v>9000000000</v>
      </c>
      <c r="P4" s="8">
        <f>Table36712[[#This Row],[2031]]+P5</f>
        <v>9000000000</v>
      </c>
      <c r="Q4" s="38"/>
    </row>
    <row r="5" spans="2:17" ht="20" customHeight="1" thickBot="1" x14ac:dyDescent="0.25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500000000</v>
      </c>
      <c r="J5" s="46">
        <v>1000000000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25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25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5:G5 E4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zoomScale="200" zoomScaleNormal="100" workbookViewId="0">
      <selection activeCell="F17" sqref="F17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113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v>500000000</v>
      </c>
      <c r="H5" s="46">
        <v>500000000</v>
      </c>
      <c r="I5" s="46">
        <v>1000000000</v>
      </c>
      <c r="J5" s="46">
        <v>500000000</v>
      </c>
      <c r="K5" s="46">
        <v>500000000</v>
      </c>
      <c r="L5" s="46">
        <v>1000000000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topLeftCell="B1" zoomScale="193" zoomScaleNormal="100" workbookViewId="0">
      <selection activeCell="L50" sqref="L50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42" t="s">
        <v>55</v>
      </c>
      <c r="F2" s="43">
        <f>Summary!$C$3</f>
        <v>0.80648025591983208</v>
      </c>
      <c r="G2" s="62">
        <f>Summary!$D$3</f>
        <v>0.84027360892539138</v>
      </c>
      <c r="H2" s="63">
        <f>Summary!$E$3</f>
        <v>0.89843040357971071</v>
      </c>
      <c r="I2" s="63">
        <f>Summary!$F$3</f>
        <v>0.89943787070972747</v>
      </c>
      <c r="J2" s="63">
        <f>Summary!$G$3</f>
        <v>0.89947903213847469</v>
      </c>
      <c r="K2" s="63">
        <f>Summary!$H$3</f>
        <v>0.92448668561480107</v>
      </c>
      <c r="L2" s="63">
        <f>Summary!$I$3</f>
        <v>0.92220901797165855</v>
      </c>
      <c r="M2" s="63">
        <f>Summary!$J$3</f>
        <v>0.92220901797165855</v>
      </c>
      <c r="N2" s="63">
        <f>Summary!$K$3</f>
        <v>0.92220901797165855</v>
      </c>
      <c r="O2" s="63">
        <f>Summary!$L$3</f>
        <v>0.92220901797165855</v>
      </c>
      <c r="P2" s="63">
        <f>Summary!$M$3</f>
        <v>0.92220901797165855</v>
      </c>
    </row>
    <row r="3" spans="2:38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106" t="s">
        <v>22</v>
      </c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45"/>
    </row>
    <row r="4" spans="2:38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v>16399663023.428572</v>
      </c>
      <c r="H4" s="67">
        <f>Table36[[#This Row],[2023]]+(H2-G2)*100*$H$9</f>
        <v>19488442332.488911</v>
      </c>
      <c r="I4" s="67">
        <f>Table36[[#This Row],[2024]]+(I2-H2)*100*$H$9</f>
        <v>19541950158.087807</v>
      </c>
      <c r="J4" s="67">
        <f>Table36[[#This Row],[2025]]+(J2-I2)*100*$H$9</f>
        <v>19544136292.488808</v>
      </c>
      <c r="K4" s="67">
        <f>Table36[[#This Row],[2026]]+(K2-J2)*100*$H$9</f>
        <v>20872323705.240086</v>
      </c>
      <c r="L4" s="67">
        <f>Table36[[#This Row],[2027]]+(L2-K2)*100*$H$9</f>
        <v>20751353959.041523</v>
      </c>
      <c r="M4" s="67">
        <f>Table36[[#This Row],[2028]]+(M2-L2)*100*$H$9</f>
        <v>20751353959.041523</v>
      </c>
      <c r="N4" s="67">
        <f>Table36[[#This Row],[2029]]+(N2-M2)*100*$H$9</f>
        <v>20751353959.041523</v>
      </c>
      <c r="O4" s="67">
        <f>Table36[[#This Row],[2030]]+(O2-N2)*100*$H$9</f>
        <v>20751353959.041523</v>
      </c>
      <c r="P4" s="67">
        <f>Table36[[#This Row],[2031]]+(P2-O2)*100*$H$9</f>
        <v>20751353959.041523</v>
      </c>
      <c r="Q4" s="79"/>
      <c r="W4" s="45"/>
      <c r="X4" s="108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45"/>
    </row>
    <row r="5" spans="2:38" x14ac:dyDescent="0.2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110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2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111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2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2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2">
      <c r="G9" s="75" cm="1">
        <f t="array" ref="G9">Table36[2023]-Table36[2022]</f>
        <v>1248114071.5262394</v>
      </c>
      <c r="H9" s="76">
        <f>G9/(G8*100)</f>
        <v>531112370.86222953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7" thickBot="1" x14ac:dyDescent="0.25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2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7" thickBot="1" x14ac:dyDescent="0.25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2">
      <c r="W13" s="45"/>
      <c r="X13" s="106" t="s">
        <v>41</v>
      </c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45"/>
    </row>
    <row r="14" spans="2:38" x14ac:dyDescent="0.2">
      <c r="F14" s="77" t="s">
        <v>73</v>
      </c>
      <c r="G14" s="78" t="s">
        <v>74</v>
      </c>
      <c r="W14" s="45"/>
      <c r="X14" s="108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45"/>
    </row>
    <row r="15" spans="2:38" x14ac:dyDescent="0.2">
      <c r="W15" s="45"/>
      <c r="X15" s="110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2">
      <c r="W16" s="45"/>
      <c r="X16" s="111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2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2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2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7" thickBot="1" x14ac:dyDescent="0.25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7" thickBot="1" x14ac:dyDescent="0.25"/>
    <row r="23" spans="23:38" ht="15" customHeight="1" x14ac:dyDescent="0.2">
      <c r="X23" s="102" t="s">
        <v>42</v>
      </c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56"/>
    </row>
    <row r="24" spans="23:38" ht="15" customHeight="1" x14ac:dyDescent="0.2">
      <c r="X24" s="104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56"/>
    </row>
    <row r="25" spans="23:38" ht="20.25" customHeight="1" x14ac:dyDescent="0.2">
      <c r="X25" s="100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2">
      <c r="X26" s="101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2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2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2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25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2">
      <c r="AL31" s="56"/>
    </row>
    <row r="32" spans="23:38" ht="17" thickBot="1" x14ac:dyDescent="0.25">
      <c r="AL32" s="56"/>
    </row>
    <row r="33" spans="24:38" ht="15" customHeight="1" x14ac:dyDescent="0.2">
      <c r="X33" s="102" t="s">
        <v>43</v>
      </c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56"/>
    </row>
    <row r="34" spans="24:38" ht="15" customHeight="1" x14ac:dyDescent="0.2">
      <c r="X34" s="104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56"/>
    </row>
    <row r="35" spans="24:38" ht="20.25" customHeight="1" x14ac:dyDescent="0.2">
      <c r="X35" s="100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2">
      <c r="X36" s="101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2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2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2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25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zoomScale="173" workbookViewId="0">
      <selection activeCell="H12" sqref="H12"/>
    </sheetView>
  </sheetViews>
  <sheetFormatPr baseColWidth="10" defaultRowHeight="16" x14ac:dyDescent="0.2"/>
  <cols>
    <col min="1" max="1" width="10.83203125" style="1"/>
    <col min="2" max="2" width="10.83203125" style="30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2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2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2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2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2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25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25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2">
      <c r="K11" s="68"/>
      <c r="L11" s="69"/>
      <c r="M11" s="69"/>
      <c r="N11" s="69"/>
      <c r="O11" s="69"/>
      <c r="P11" s="69"/>
    </row>
    <row r="12" spans="2:17" ht="20" customHeight="1" x14ac:dyDescent="0.2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9"/>
  <sheetViews>
    <sheetView showGridLines="0" zoomScale="17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6384" width="10.83203125" style="1"/>
  </cols>
  <sheetData>
    <row r="2" spans="2:17" x14ac:dyDescent="0.2">
      <c r="E2" s="42" t="s">
        <v>55</v>
      </c>
      <c r="F2" s="43">
        <f>Summary!$C$3</f>
        <v>0.80648025591983208</v>
      </c>
      <c r="G2" s="43">
        <f>Summary!$D$3</f>
        <v>0.84027360892539138</v>
      </c>
      <c r="H2" s="62">
        <f>Summary!$E$3</f>
        <v>0.89843040357971071</v>
      </c>
      <c r="I2" s="63">
        <f>Summary!$F$3</f>
        <v>0.89943787070972747</v>
      </c>
      <c r="J2" s="63">
        <f>Summary!$G$3</f>
        <v>0.89947903213847469</v>
      </c>
      <c r="K2" s="63">
        <f>Summary!$H$3</f>
        <v>0.92448668561480107</v>
      </c>
      <c r="L2" s="63">
        <f>Summary!$I$3</f>
        <v>0.92220901797165855</v>
      </c>
      <c r="M2" s="63">
        <f>Summary!$J$3</f>
        <v>0.92220901797165855</v>
      </c>
      <c r="N2" s="63">
        <f>Summary!$K$3</f>
        <v>0.92220901797165855</v>
      </c>
      <c r="O2" s="63">
        <f>Summary!$L$3</f>
        <v>0.92220901797165855</v>
      </c>
      <c r="P2" s="63">
        <f>Summary!$M$3</f>
        <v>0.92220901797165855</v>
      </c>
    </row>
    <row r="3" spans="2:17" s="44" customFormat="1" ht="20" customHeight="1" x14ac:dyDescent="0.2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2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2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25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9491677710.0826931</v>
      </c>
      <c r="I8" s="82">
        <f>Table4[[#Totals],[2024]]+(I2-H2)*100*$I$11</f>
        <v>9532610410.4248867</v>
      </c>
      <c r="J8" s="82">
        <f>Table4[[#Totals],[2025]]+(J2-I2)*100*$I$11</f>
        <v>9534282771.1187172</v>
      </c>
      <c r="K8" s="82">
        <f>Table4[[#Totals],[2026]]+(K2-J2)*100*$I$11</f>
        <v>10550326625.562725</v>
      </c>
      <c r="L8" s="82">
        <f>Table4[[#Totals],[2027]]+(L2-K2)*100*$I$11</f>
        <v>10457786547.243435</v>
      </c>
      <c r="M8" s="82">
        <f>Table4[[#Totals],[2028]]+(M2-L2)*100*$I$11</f>
        <v>10457786547.243435</v>
      </c>
      <c r="N8" s="82">
        <f>Table4[[#Totals],[2029]]+(N2-M2)*100*$I$11</f>
        <v>10457786547.243435</v>
      </c>
      <c r="O8" s="82">
        <f>Table4[[#Totals],[2030]]+(O2-N2)*100*$I$11</f>
        <v>10457786547.243435</v>
      </c>
      <c r="P8" s="82">
        <f>Table4[[#Totals],[2031]]+(P2-O2)*100*$I$11</f>
        <v>10457786547.243435</v>
      </c>
      <c r="Q8" s="79"/>
    </row>
    <row r="9" spans="2:17" ht="20" customHeight="1" x14ac:dyDescent="0.2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2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2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2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2">
      <c r="C13" s="8"/>
      <c r="D13" s="8"/>
    </row>
    <row r="14" spans="2:17" ht="20" customHeight="1" x14ac:dyDescent="0.2">
      <c r="G14" s="77" t="s">
        <v>79</v>
      </c>
      <c r="H14" s="78" t="s">
        <v>72</v>
      </c>
    </row>
    <row r="19" spans="6:7" x14ac:dyDescent="0.2">
      <c r="F19" s="1" t="s">
        <v>114</v>
      </c>
      <c r="G19" s="56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TE Office</vt:lpstr>
      <vt:lpstr>TE Office Old</vt:lpstr>
      <vt:lpstr>IN OUT</vt:lpstr>
      <vt:lpstr>Ampera</vt:lpstr>
      <vt:lpstr>SH</vt:lpstr>
      <vt:lpstr>Dago</vt:lpstr>
      <vt:lpstr>Listrik</vt:lpstr>
      <vt:lpstr>IT</vt:lpstr>
      <vt:lpstr>Parkir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2022-09-29T10:39:50Z</cp:lastPrinted>
  <dcterms:created xsi:type="dcterms:W3CDTF">2022-09-06T10:21:49Z</dcterms:created>
  <dcterms:modified xsi:type="dcterms:W3CDTF">2022-10-04T10:07:06Z</dcterms:modified>
</cp:coreProperties>
</file>