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an/Development/office/revenue-streamlit/"/>
    </mc:Choice>
  </mc:AlternateContent>
  <xr:revisionPtr revIDLastSave="0" documentId="13_ncr:1_{0025B5B3-C251-A041-B0F7-700104C8E2ED}" xr6:coauthVersionLast="47" xr6:coauthVersionMax="47" xr10:uidLastSave="{00000000-0000-0000-0000-000000000000}"/>
  <bookViews>
    <workbookView xWindow="0" yWindow="880" windowWidth="36000" windowHeight="22500" xr2:uid="{9DA9C85C-0230-484A-A9A5-3ABA148F8E1D}"/>
  </bookViews>
  <sheets>
    <sheet name="Summary" sheetId="1" r:id="rId1"/>
    <sheet name="TE Office" sheetId="7" r:id="rId2"/>
    <sheet name="Ampera" sheetId="6" r:id="rId3"/>
    <sheet name="SH" sheetId="10" r:id="rId4"/>
    <sheet name="Dago" sheetId="9" r:id="rId5"/>
    <sheet name="Listrik" sheetId="2" r:id="rId6"/>
    <sheet name="IT" sheetId="3" r:id="rId7"/>
    <sheet name="Parkir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9" i="1" l="1"/>
  <c r="F39" i="1"/>
  <c r="G39" i="1"/>
  <c r="H39" i="1"/>
  <c r="I39" i="1"/>
  <c r="J39" i="1"/>
  <c r="K39" i="1"/>
  <c r="L39" i="1"/>
  <c r="M39" i="1"/>
  <c r="D39" i="1"/>
  <c r="M24" i="1"/>
  <c r="F24" i="1"/>
  <c r="G24" i="1"/>
  <c r="H24" i="1"/>
  <c r="I24" i="1"/>
  <c r="J24" i="1"/>
  <c r="K24" i="1"/>
  <c r="L24" i="1"/>
  <c r="E24" i="1"/>
  <c r="D24" i="1"/>
  <c r="H9" i="10" l="1"/>
  <c r="I9" i="10" s="1"/>
  <c r="F9" i="10"/>
  <c r="C33" i="1" s="1"/>
  <c r="H4" i="10"/>
  <c r="I4" i="10" s="1"/>
  <c r="J4" i="10" s="1"/>
  <c r="F4" i="10"/>
  <c r="D33" i="1"/>
  <c r="E33" i="1"/>
  <c r="D18" i="1"/>
  <c r="E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J9" i="10" l="1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M31" i="1"/>
  <c r="L31" i="1"/>
  <c r="K31" i="1"/>
  <c r="J31" i="1"/>
  <c r="I31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M10" i="3" s="1"/>
  <c r="N10" i="3" s="1"/>
  <c r="O10" i="3" s="1"/>
  <c r="P10" i="3" s="1"/>
  <c r="K10" i="3"/>
  <c r="H12" i="3"/>
  <c r="I12" i="3"/>
  <c r="J12" i="3"/>
  <c r="G12" i="3"/>
  <c r="H9" i="2"/>
  <c r="G9" i="2" a="1"/>
  <c r="G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K33" i="1" l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K16" i="1"/>
  <c r="L16" i="1"/>
  <c r="M16" i="1"/>
  <c r="C16" i="1"/>
  <c r="F10" i="3"/>
  <c r="C10" i="6"/>
  <c r="F4" i="6" s="1"/>
  <c r="C14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L33" i="1" l="1"/>
  <c r="P9" i="10"/>
  <c r="M33" i="1" s="1"/>
  <c r="P4" i="10"/>
  <c r="M18" i="1" s="1"/>
  <c r="L18" i="1"/>
  <c r="I35" i="1"/>
  <c r="I20" i="1"/>
  <c r="E4" i="6"/>
  <c r="F35" i="1"/>
  <c r="F20" i="1"/>
  <c r="D4" i="6"/>
  <c r="C4" i="6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M35" i="1" l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F17" i="1" l="1"/>
  <c r="J8" i="4"/>
  <c r="G32" i="1" s="1"/>
  <c r="J4" i="2"/>
  <c r="G30" i="1" s="1" a="1"/>
  <c r="G30" i="1" s="1"/>
  <c r="F15" i="1" a="1"/>
  <c r="F15" i="1" s="1"/>
  <c r="K8" i="4"/>
  <c r="H32" i="1" s="1"/>
  <c r="K4" i="2" l="1"/>
  <c r="H30" i="1" s="1" a="1"/>
  <c r="H30" i="1" s="1"/>
  <c r="G17" i="1"/>
  <c r="G15" i="1" a="1"/>
  <c r="G15" i="1" s="1"/>
  <c r="H15" i="1" a="1"/>
  <c r="H15" i="1" s="1"/>
  <c r="L8" i="4"/>
  <c r="I32" i="1" s="1"/>
  <c r="H17" i="1"/>
  <c r="L4" i="2" l="1"/>
  <c r="I30" i="1" s="1" a="1"/>
  <c r="I30" i="1" s="1"/>
  <c r="M8" i="4"/>
  <c r="J32" i="1" s="1"/>
  <c r="I17" i="1"/>
  <c r="I15" i="1" l="1" a="1"/>
  <c r="I15" i="1" s="1"/>
  <c r="M4" i="2"/>
  <c r="J30" i="1" s="1" a="1"/>
  <c r="J30" i="1" s="1"/>
  <c r="N8" i="4"/>
  <c r="K32" i="1" s="1"/>
  <c r="J17" i="1"/>
  <c r="N4" i="2" l="1"/>
  <c r="K30" i="1" s="1" a="1"/>
  <c r="K30" i="1" s="1"/>
  <c r="J15" i="1" a="1"/>
  <c r="J15" i="1" s="1"/>
  <c r="O8" i="4"/>
  <c r="L32" i="1" s="1"/>
  <c r="K17" i="1"/>
  <c r="K15" i="1" l="1" a="1"/>
  <c r="K15" i="1" s="1"/>
  <c r="O4" i="2"/>
  <c r="L30" i="1" s="1" a="1"/>
  <c r="L30" i="1" s="1"/>
  <c r="P4" i="2"/>
  <c r="L15" i="1" a="1"/>
  <c r="L15" i="1" s="1"/>
  <c r="P8" i="4"/>
  <c r="L17" i="1"/>
  <c r="M17" i="1" l="1"/>
  <c r="M32" i="1"/>
  <c r="M15" i="1" a="1"/>
  <c r="M15" i="1" s="1"/>
  <c r="M30" i="1" a="1"/>
  <c r="M30" i="1" s="1"/>
  <c r="G4" i="9"/>
  <c r="H4" i="9" l="1"/>
  <c r="D37" i="1"/>
  <c r="D38" i="1" s="1"/>
  <c r="D22" i="1"/>
  <c r="D23" i="1" s="1"/>
  <c r="I4" i="9" l="1"/>
  <c r="E22" i="1"/>
  <c r="E23" i="1" s="1"/>
  <c r="E37" i="1"/>
  <c r="E38" i="1" s="1"/>
  <c r="J4" i="9" l="1"/>
  <c r="F37" i="1"/>
  <c r="F38" i="1" s="1"/>
  <c r="F22" i="1"/>
  <c r="F23" i="1" s="1"/>
  <c r="K4" i="9" l="1"/>
  <c r="G37" i="1"/>
  <c r="G38" i="1" s="1"/>
  <c r="G22" i="1"/>
  <c r="G23" i="1" s="1"/>
  <c r="L4" i="9" l="1"/>
  <c r="H22" i="1"/>
  <c r="H23" i="1" s="1"/>
  <c r="H37" i="1"/>
  <c r="H38" i="1" s="1"/>
  <c r="M4" i="9" l="1"/>
  <c r="I37" i="1"/>
  <c r="I38" i="1" s="1"/>
  <c r="I22" i="1"/>
  <c r="I23" i="1" s="1"/>
  <c r="N4" i="9" l="1"/>
  <c r="J37" i="1"/>
  <c r="J38" i="1" s="1"/>
  <c r="J22" i="1"/>
  <c r="J23" i="1" s="1"/>
  <c r="O4" i="9" l="1"/>
  <c r="K37" i="1"/>
  <c r="K38" i="1" s="1"/>
  <c r="K22" i="1"/>
  <c r="K23" i="1" s="1"/>
  <c r="P4" i="9" l="1"/>
  <c r="L37" i="1"/>
  <c r="L38" i="1" s="1"/>
  <c r="L22" i="1"/>
  <c r="L23" i="1" s="1"/>
  <c r="M37" i="1" l="1"/>
  <c r="M38" i="1" s="1"/>
  <c r="M22" i="1"/>
  <c r="M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<sst xmlns="http://schemas.openxmlformats.org/spreadsheetml/2006/main" count="319" uniqueCount="83">
  <si>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</si>
  <si>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</si>
  <si>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</si>
  <si>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</si>
  <si>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</si>
  <si>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</si>
  <si>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</si>
  <si>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</si>
  <si>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</si>
  <si>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</si>
  <si>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</si>
  <si>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</si>
  <si>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</si>
  <si>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</si>
  <si>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</si>
  <si>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</si>
  <si>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</si>
  <si>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</si>
  <si>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</si>
  <si>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</si>
  <si>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</si>
  <si>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</si>
  <si>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</si>
  <si>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</si>
  <si>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</si>
  <si>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</si>
  <si>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</si>
  <si>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</si>
  <si>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</si>
  <si>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</si>
  <si>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</si>
  <si>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</si>
  <si>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</si>
  <si>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</si>
  <si>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</si>
  <si>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</si>
  <si>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</si>
  <si>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</si>
  <si>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</si>
  <si>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</si>
  <si>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</si>
  <si>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</si>
  <si>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</si>
  <si>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</si>
  <si>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</si>
  <si>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</si>
  <si>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</si>
  <si>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</si>
  <si>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</si>
  <si>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</si>
  <si>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</si>
  <si>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</si>
  <si>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</si>
  <si>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</si>
  <si>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</si>
  <si>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</si>
  <si>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</si>
  <si>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</si>
  <si>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</si>
  <si>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</si>
  <si>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</si>
  <si>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</si>
  <si>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</si>
  <si>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</si>
  <si>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</si>
  <si>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</si>
  <si>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</si>
  <si>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</si>
  <si>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</si>
  <si>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</si>
  <si>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</si>
  <si>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</si>
  <si>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</si>
  <si>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</si>
  <si>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</si>
  <si>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</si>
  <si>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</si>
  <si>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</si>
  <si>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</si>
  <si>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</si>
  <si>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The Energy (1)</t>
  </si>
  <si>
    <t>The Energy (2)</t>
  </si>
  <si>
    <t>Dago Condotel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</si>
</sst>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</cellStyleXfs>
  <cellXfs count="10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0" fontId="15" fillId="0" borderId="0" xfId="0" applyNumberFormat="1" applyFont="1" applyAlignment="1">
      <alignment horizontal="right" vertical="center"/>
    </xf>
    <xf numFmtId="164" fontId="15" fillId="0" borderId="0" xfId="1" applyNumberFormat="1" applyFont="1" applyAlignment="1">
      <alignment vertical="center"/>
    </xf>
    <xf numFmtId="164" fontId="15" fillId="0" borderId="0" xfId="0" applyNumberFormat="1" applyFont="1" applyAlignment="1">
      <alignment vertical="center"/>
    </xf>
    <xf numFmtId="167" fontId="15" fillId="0" borderId="15" xfId="0" applyNumberFormat="1" applyFont="1" applyBorder="1" applyAlignment="1">
      <alignment vertical="center"/>
    </xf>
    <xf numFmtId="167" fontId="15" fillId="0" borderId="5" xfId="0" applyNumberFormat="1" applyFont="1" applyBorder="1" applyAlignment="1">
      <alignment vertical="center"/>
    </xf>
    <xf numFmtId="167" fontId="16" fillId="0" borderId="15" xfId="0" applyNumberFormat="1" applyFont="1" applyBorder="1" applyAlignment="1">
      <alignment vertical="center"/>
    </xf>
    <xf numFmtId="167" fontId="16" fillId="0" borderId="5" xfId="0" applyNumberFormat="1" applyFont="1" applyBorder="1" applyAlignment="1">
      <alignment vertical="center"/>
    </xf>
    <xf numFmtId="10" fontId="15" fillId="0" borderId="15" xfId="0" applyNumberFormat="1" applyFont="1" applyBorder="1" applyAlignment="1">
      <alignment vertical="center"/>
    </xf>
    <xf numFmtId="10" fontId="15" fillId="0" borderId="5" xfId="0" applyNumberFormat="1" applyFont="1" applyBorder="1" applyAlignment="1">
      <alignment vertical="center"/>
    </xf>
  </cellXfs>
  <cellStyles count="4">
    <cellStyle name="Comma" xfId="1" builtinId="3"/>
    <cellStyle name="Normal" xfId="0" builtinId="0"/>
    <cellStyle name="Normal 2" xfId="3" xr:uid="{CE309EA9-2ACD-FD45-9E22-4DD1ECE3D7F0}"/>
    <cellStyle name="Percent" xfId="2" builtinId="5"/>
  </cellStyles>
  <dxfs count="2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249977111117893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249977111117893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249977111117893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249977111117893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249977111117893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249977111117893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249977111117893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249977111117893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249977111117893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249977111117893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249977111117893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319090058680.66931</c:v>
                </c:pt>
                <c:pt idx="1">
                  <c:v>333726974278.32971</c:v>
                </c:pt>
                <c:pt idx="2">
                  <c:v>361287978320.97528</c:v>
                </c:pt>
                <c:pt idx="3">
                  <c:v>363484014434.07043</c:v>
                </c:pt>
                <c:pt idx="4">
                  <c:v>365726754079.65582</c:v>
                </c:pt>
                <c:pt idx="5">
                  <c:v>377740335710.91028</c:v>
                </c:pt>
                <c:pt idx="6">
                  <c:v>379909748890.24854</c:v>
                </c:pt>
                <c:pt idx="7">
                  <c:v>381679773184.5036</c:v>
                </c:pt>
                <c:pt idx="8">
                  <c:v>384987707084.1593</c:v>
                </c:pt>
                <c:pt idx="9">
                  <c:v>385990351717.37781</c:v>
                </c:pt>
                <c:pt idx="10">
                  <c:v>387590351717.37781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318693569080.66931</c:v>
                </c:pt>
                <c:pt idx="1">
                  <c:v>323850216670.00977</c:v>
                </c:pt>
                <c:pt idx="2">
                  <c:v>348376969727.00275</c:v>
                </c:pt>
                <c:pt idx="3">
                  <c:v>349091160047.61304</c:v>
                </c:pt>
                <c:pt idx="4">
                  <c:v>350336223853.19836</c:v>
                </c:pt>
                <c:pt idx="5">
                  <c:v>348778872756.99811</c:v>
                </c:pt>
                <c:pt idx="6">
                  <c:v>350357872667.92853</c:v>
                </c:pt>
                <c:pt idx="7">
                  <c:v>351599263362.18365</c:v>
                </c:pt>
                <c:pt idx="8">
                  <c:v>354691969911.83929</c:v>
                </c:pt>
                <c:pt idx="9">
                  <c:v>355622872095.0578</c:v>
                </c:pt>
                <c:pt idx="10">
                  <c:v>357222872095.0578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Office'!$C$9:$M$9</c:f>
              <c:numCache>
                <c:formatCode>0.00%</c:formatCode>
                <c:ptCount val="11"/>
                <c:pt idx="0">
                  <c:v>0.80649534844370618</c:v>
                </c:pt>
                <c:pt idx="1">
                  <c:v>0.84026537663964185</c:v>
                </c:pt>
                <c:pt idx="2">
                  <c:v>0.90220391872154071</c:v>
                </c:pt>
                <c:pt idx="3">
                  <c:v>0.9044747124226673</c:v>
                </c:pt>
                <c:pt idx="4">
                  <c:v>0.90451175770853975</c:v>
                </c:pt>
                <c:pt idx="5">
                  <c:v>0.92648493577571611</c:v>
                </c:pt>
                <c:pt idx="6">
                  <c:v>0.92570461114658731</c:v>
                </c:pt>
                <c:pt idx="7">
                  <c:v>0.92721293054160059</c:v>
                </c:pt>
                <c:pt idx="8">
                  <c:v>0.92721293054160059</c:v>
                </c:pt>
                <c:pt idx="9">
                  <c:v>0.92721293054160059</c:v>
                </c:pt>
                <c:pt idx="10">
                  <c:v>0.92721293054160059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Office'!$C$18:$M$18</c:f>
              <c:numCache>
                <c:formatCode>0.00%</c:formatCode>
                <c:ptCount val="11"/>
                <c:pt idx="0">
                  <c:v>0.80525498994983757</c:v>
                </c:pt>
                <c:pt idx="1">
                  <c:v>0.80985763184168136</c:v>
                </c:pt>
                <c:pt idx="2">
                  <c:v>0.86385627153958866</c:v>
                </c:pt>
                <c:pt idx="3">
                  <c:v>0.86259294496847894</c:v>
                </c:pt>
                <c:pt idx="4">
                  <c:v>0.86038191766189331</c:v>
                </c:pt>
                <c:pt idx="5">
                  <c:v>0.84411497590289675</c:v>
                </c:pt>
                <c:pt idx="6">
                  <c:v>0.84176328627380548</c:v>
                </c:pt>
                <c:pt idx="7">
                  <c:v>0.84175505398805606</c:v>
                </c:pt>
                <c:pt idx="8">
                  <c:v>0.84175505398805606</c:v>
                </c:pt>
                <c:pt idx="9">
                  <c:v>0.84175505398805606</c:v>
                </c:pt>
                <c:pt idx="10">
                  <c:v>0.84175505398805606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Office'!$C$4:$M$4</c:f>
              <c:numCache>
                <c:formatCode>yyyy</c:formatCode>
                <c:ptCount val="11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  <c:pt idx="10">
                  <c:v>48579</c:v>
                </c:pt>
              </c:numCache>
            </c:numRef>
          </c:cat>
          <c:val>
            <c:numRef>
              <c:f>'TE Office'!$C$7:$M$7</c:f>
              <c:numCache>
                <c:formatCode>0,00#</c:formatCode>
                <c:ptCount val="11"/>
                <c:pt idx="0">
                  <c:v>248951980320.72696</c:v>
                </c:pt>
                <c:pt idx="1">
                  <c:v>257601884350.43256</c:v>
                </c:pt>
                <c:pt idx="2">
                  <c:v>277388735203.60236</c:v>
                </c:pt>
                <c:pt idx="3">
                  <c:v>278166515859.30579</c:v>
                </c:pt>
                <c:pt idx="4">
                  <c:v>277485942859.30579</c:v>
                </c:pt>
                <c:pt idx="5">
                  <c:v>286339746626.41614</c:v>
                </c:pt>
                <c:pt idx="6">
                  <c:v>286482307868.04254</c:v>
                </c:pt>
                <c:pt idx="7">
                  <c:v>287010941468.04254</c:v>
                </c:pt>
                <c:pt idx="8">
                  <c:v>288218875367.69824</c:v>
                </c:pt>
                <c:pt idx="9">
                  <c:v>288621520000.91675</c:v>
                </c:pt>
                <c:pt idx="10">
                  <c:v>288621520000.91675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Office'!$C$16:$M$16</c:f>
              <c:numCache>
                <c:formatCode>0,00#</c:formatCode>
                <c:ptCount val="11"/>
                <c:pt idx="0">
                  <c:v>248555490720.72696</c:v>
                </c:pt>
                <c:pt idx="1">
                  <c:v>247725126742.11261</c:v>
                </c:pt>
                <c:pt idx="2">
                  <c:v>264727726609.62979</c:v>
                </c:pt>
                <c:pt idx="3">
                  <c:v>264273661472.84836</c:v>
                </c:pt>
                <c:pt idx="4">
                  <c:v>262845412632.84836</c:v>
                </c:pt>
                <c:pt idx="5">
                  <c:v>258128283672.504</c:v>
                </c:pt>
                <c:pt idx="6">
                  <c:v>257680431645.72256</c:v>
                </c:pt>
                <c:pt idx="7">
                  <c:v>257680431645.72256</c:v>
                </c:pt>
                <c:pt idx="8">
                  <c:v>258673138195.3782</c:v>
                </c:pt>
                <c:pt idx="9">
                  <c:v>259004040378.59674</c:v>
                </c:pt>
                <c:pt idx="10">
                  <c:v>259004040378.59674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17095" y="124829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75" dataDxfId="274" totalsRowDxfId="27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72" totalsRowDxfId="271"/>
    <tableColumn id="12" xr3:uid="{85475C21-3329-2B45-8444-CA94C08A4946}" name="2022" totalsRowFunction="sum" dataDxfId="270" totalsRowDxfId="269" dataCellStyle="Comma"/>
    <tableColumn id="2" xr3:uid="{39720F4C-EDD5-7B48-9B96-FD9488CF7B6F}" name="2023" totalsRowFunction="sum" dataDxfId="268" totalsRowDxfId="267" dataCellStyle="Comma"/>
    <tableColumn id="3" xr3:uid="{0994F7B4-B62D-534F-9417-0249F38ADE67}" name="2024" totalsRowFunction="sum" dataDxfId="266" totalsRowDxfId="265" dataCellStyle="Comma"/>
    <tableColumn id="4" xr3:uid="{BF5E00BE-9F6A-514F-89E9-FCB3BA9FBE7E}" name="2025" totalsRowFunction="sum" dataDxfId="264" totalsRowDxfId="263" dataCellStyle="Comma"/>
    <tableColumn id="5" xr3:uid="{558C3BB7-E01B-4041-A52C-470E15F68511}" name="2026" totalsRowFunction="sum" dataDxfId="262" totalsRowDxfId="261" dataCellStyle="Comma"/>
    <tableColumn id="6" xr3:uid="{F85D5229-9BC7-6441-95EE-D5D053C638B7}" name="2027" totalsRowFunction="sum" dataDxfId="260" totalsRowDxfId="259" dataCellStyle="Comma"/>
    <tableColumn id="7" xr3:uid="{0358E158-5480-1945-AEC6-9C9BE0041972}" name="2028" totalsRowFunction="sum" dataDxfId="258" totalsRowDxfId="257" dataCellStyle="Comma"/>
    <tableColumn id="8" xr3:uid="{AD2569E3-CD58-DB43-9407-E9740AD84292}" name="2029" totalsRowFunction="sum" dataDxfId="256" totalsRowDxfId="255" dataCellStyle="Comma"/>
    <tableColumn id="9" xr3:uid="{7561F271-4CC3-5147-8982-B20E91E439A9}" name="2030" totalsRowFunction="sum" dataDxfId="254" totalsRowDxfId="253" dataCellStyle="Comma"/>
    <tableColumn id="10" xr3:uid="{BECB626F-1389-A74E-BD36-D45CF00BA3A5}" name="2031" totalsRowFunction="sum" dataDxfId="252" totalsRowDxfId="251" dataCellStyle="Comma"/>
    <tableColumn id="11" xr3:uid="{B473C967-9544-AA40-854E-CE88ACD5AB6C}" name="2032" totalsRowFunction="sum" dataDxfId="250" totalsRowDxfId="24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48" tableBorderDxfId="24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4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45" dataDxfId="244" totalsRowDxfId="24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11" totalsRowDxfId="242"/>
    <tableColumn id="12" xr3:uid="{D2689BC0-FE51-1C4F-BEFD-AB4DACE89943}" name="2022" totalsRowFunction="sum" dataDxfId="10" dataCellStyle="Comma"/>
    <tableColumn id="2" xr3:uid="{6A567BA1-6DE6-8348-8535-A146D583581C}" name="2023" totalsRowFunction="sum" dataDxfId="9" dataCellStyle="Comma"/>
    <tableColumn id="3" xr3:uid="{40543FAE-4431-7141-91FF-6CA497E19814}" name="2024" totalsRowFunction="sum" dataDxfId="8" dataCellStyle="Comma"/>
    <tableColumn id="4" xr3:uid="{5F9F5E8A-DEB0-1240-8A75-FA8B64F35675}" name="2025" totalsRowFunction="sum" dataDxfId="7" dataCellStyle="Comma"/>
    <tableColumn id="5" xr3:uid="{376D47ED-3CE1-6040-9561-9EFFF63DE629}" name="2026" totalsRowFunction="sum" dataDxfId="6" dataCellStyle="Comma"/>
    <tableColumn id="6" xr3:uid="{5902029A-D689-CB43-9DD3-888C62F95D64}" name="2027" totalsRowFunction="sum" dataDxfId="5" dataCellStyle="Comma"/>
    <tableColumn id="7" xr3:uid="{DEFF5695-DFAA-0C42-B996-7914A6534765}" name="2028" totalsRowFunction="sum" dataDxfId="4" dataCellStyle="Comma"/>
    <tableColumn id="8" xr3:uid="{DA964F6B-FAD7-074D-AFFE-A731AC6A5ADF}" name="2029" totalsRowFunction="sum" dataDxfId="3" dataCellStyle="Comma"/>
    <tableColumn id="9" xr3:uid="{8011E7A7-6FB4-1344-B606-557A75FC6E3E}" name="2030" totalsRowFunction="sum" dataDxfId="2" dataCellStyle="Comma"/>
    <tableColumn id="10" xr3:uid="{9EF28CD6-825D-E24F-8E30-EFD6674D59E1}" name="2031" totalsRowFunction="sum" dataDxfId="1" dataCellStyle="Comma"/>
    <tableColumn id="11" xr3:uid="{30CA743D-2942-4544-9A3E-BC18F898D37D}" name="2032" totalsRowFunction="sum" dataDxfId="0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41" dataDxfId="240" totalsRowDxfId="239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38"/>
    <tableColumn id="2" xr3:uid="{2B1CCD52-0B57-AE43-9C86-45DD61C25858}" name="2019" totalsRowFunction="sum" dataDxfId="237" totalsRowDxfId="236" dataCellStyle="Comma">
      <calculatedColumnFormula>$C$10</calculatedColumnFormula>
    </tableColumn>
    <tableColumn id="3" xr3:uid="{B3959DCD-8B88-6743-B7BD-90FB273FDD75}" name="2020" totalsRowFunction="sum" dataDxfId="235" totalsRowDxfId="234" dataCellStyle="Comma">
      <calculatedColumnFormula>$C$10</calculatedColumnFormula>
    </tableColumn>
    <tableColumn id="4" xr3:uid="{5C2B67C1-E6FB-C342-8D11-D84155D57722}" name="2021" totalsRowFunction="sum" dataDxfId="233" totalsRowDxfId="232" dataCellStyle="Comma">
      <calculatedColumnFormula>$C$10</calculatedColumnFormula>
    </tableColumn>
    <tableColumn id="5" xr3:uid="{BD4B3AD5-EF20-2E41-AAE9-C449FBE6EBED}" name="2022" totalsRowFunction="sum" dataDxfId="231" totalsRowDxfId="230" dataCellStyle="Comma">
      <calculatedColumnFormula>$C$10</calculatedColumnFormula>
    </tableColumn>
    <tableColumn id="6" xr3:uid="{0BCB1F53-3AFA-9248-B92C-FD192EA39765}" name="2023" totalsRowFunction="sum" dataDxfId="229" dataCellStyle="Comma">
      <calculatedColumnFormula>$C$14</calculatedColumnFormula>
    </tableColumn>
    <tableColumn id="7" xr3:uid="{619BD53B-7FEB-E244-8BE1-662D18A71EC8}" name="2024" dataDxfId="228" totalsRowDxfId="227" dataCellStyle="Comma">
      <calculatedColumnFormula>$C$14</calculatedColumnFormula>
    </tableColumn>
    <tableColumn id="8" xr3:uid="{C2DAE3E4-F421-2646-9C3B-D49B961BFAE8}" name="2025" dataDxfId="226" totalsRowDxfId="225" dataCellStyle="Comma">
      <calculatedColumnFormula>$C$14</calculatedColumnFormula>
    </tableColumn>
    <tableColumn id="9" xr3:uid="{86937C3C-E018-DD45-AC99-F0436F21D37E}" name="2026" dataDxfId="224" totalsRowDxfId="223" dataCellStyle="Comma">
      <calculatedColumnFormula>$C$14</calculatedColumnFormula>
    </tableColumn>
    <tableColumn id="10" xr3:uid="{0ED2701F-7272-7F4F-BDAC-5A0B36F34735}" name="2027" dataDxfId="222" totalsRowDxfId="221" dataCellStyle="Comma">
      <calculatedColumnFormula>$C$14</calculatedColumnFormula>
    </tableColumn>
    <tableColumn id="11" xr3:uid="{924953E8-0B08-084C-88A4-2E9D4ED12687}" name="2028" dataDxfId="220" totalsRowDxfId="219" dataCellStyle="Comma">
      <calculatedColumnFormula>$C$14</calculatedColumnFormula>
    </tableColumn>
    <tableColumn id="12" xr3:uid="{CEC3F315-2D2D-2E49-86D2-AC75553FF7CC}" name="2029" dataDxfId="218" totalsRowDxfId="217" dataCellStyle="Comma">
      <calculatedColumnFormula>$C$14</calculatedColumnFormula>
    </tableColumn>
    <tableColumn id="13" xr3:uid="{3E32D8D0-438C-544C-AE07-B7766903BA6C}" name="2030" dataDxfId="216" totalsRowDxfId="215" dataCellStyle="Comma">
      <calculatedColumnFormula>$C$14</calculatedColumnFormula>
    </tableColumn>
    <tableColumn id="14" xr3:uid="{253B6EAB-1714-D944-9EC6-E76956CEEA2E}" name="2031" dataDxfId="214" totalsRowDxfId="213" dataCellStyle="Comma">
      <calculatedColumnFormula>$C$14</calculatedColumnFormula>
    </tableColumn>
    <tableColumn id="15" xr3:uid="{5944E335-1D68-4F4D-9F09-0FF522318C19}" name="2032" dataDxfId="212" totalsRowDxfId="211" dataCellStyle="Comma">
      <calculatedColumnFormula>$C$14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210" dataDxfId="209" totalsRowDxfId="208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207"/>
    <tableColumn id="2" xr3:uid="{968525AF-9A75-2E44-BD06-AB6B9951BB35}" name="2019" totalsRowFunction="sum" dataDxfId="206" totalsRowDxfId="205" dataCellStyle="Comma">
      <calculatedColumnFormula>#REF!</calculatedColumnFormula>
    </tableColumn>
    <tableColumn id="3" xr3:uid="{77B1E53B-BEFB-A94B-B3A4-961E7F2EDB56}" name="2020" totalsRowFunction="sum" dataDxfId="204" totalsRowDxfId="203" dataCellStyle="Comma">
      <calculatedColumnFormula>#REF!</calculatedColumnFormula>
    </tableColumn>
    <tableColumn id="4" xr3:uid="{96632A6A-B9AD-F349-B2A8-AF5BB8455E0D}" name="2021" totalsRowFunction="sum" dataDxfId="202" totalsRowDxfId="201" dataCellStyle="Comma">
      <calculatedColumnFormula>#REF!</calculatedColumnFormula>
    </tableColumn>
    <tableColumn id="5" xr3:uid="{FF7AB7B8-0072-BC40-AF54-9293570E7C76}" name="2022" totalsRowFunction="sum" dataDxfId="200" totalsRowDxfId="199" dataCellStyle="Comma">
      <calculatedColumnFormula>#REF!</calculatedColumnFormula>
    </tableColumn>
    <tableColumn id="6" xr3:uid="{5DD61822-2AB9-3149-BF22-B919056AABCB}" name="2023" totalsRowFunction="sum" dataDxfId="198" dataCellStyle="Comma">
      <calculatedColumnFormula>#REF!</calculatedColumnFormula>
    </tableColumn>
    <tableColumn id="7" xr3:uid="{3773122B-9B13-084F-B2AF-167F2BD53E5E}" name="2024" dataDxfId="197" totalsRowDxfId="196" dataCellStyle="Comma">
      <calculatedColumnFormula>#REF!</calculatedColumnFormula>
    </tableColumn>
    <tableColumn id="8" xr3:uid="{E69D5601-AC96-A14E-920B-763C0145CB77}" name="2025" dataDxfId="195" totalsRowDxfId="194" dataCellStyle="Comma">
      <calculatedColumnFormula>#REF!</calculatedColumnFormula>
    </tableColumn>
    <tableColumn id="9" xr3:uid="{18DB03C9-598D-F249-B274-D3EF93826CC5}" name="2026" dataDxfId="193" totalsRowDxfId="192" dataCellStyle="Comma">
      <calculatedColumnFormula>#REF!</calculatedColumnFormula>
    </tableColumn>
    <tableColumn id="10" xr3:uid="{8D797980-B65E-A648-AA40-32BC96023834}" name="2027" dataDxfId="191" totalsRowDxfId="190" dataCellStyle="Comma">
      <calculatedColumnFormula>#REF!</calculatedColumnFormula>
    </tableColumn>
    <tableColumn id="11" xr3:uid="{851A9367-4BAD-9E48-BC90-556E33B13381}" name="2028" dataDxfId="189" totalsRowDxfId="188" dataCellStyle="Comma">
      <calculatedColumnFormula>#REF!</calculatedColumnFormula>
    </tableColumn>
    <tableColumn id="12" xr3:uid="{8FF7E486-9DA2-624E-BE69-F34407DB907C}" name="2029" dataDxfId="187" totalsRowDxfId="186" dataCellStyle="Comma">
      <calculatedColumnFormula>#REF!</calculatedColumnFormula>
    </tableColumn>
    <tableColumn id="13" xr3:uid="{10581223-ACA5-C44A-93A3-C7BB88D90041}" name="2030" dataDxfId="185" totalsRowDxfId="184" dataCellStyle="Comma">
      <calculatedColumnFormula>#REF!</calculatedColumnFormula>
    </tableColumn>
    <tableColumn id="14" xr3:uid="{FD519FB0-316F-794B-B2D5-6EC639574CCC}" name="2031" dataDxfId="183" totalsRowDxfId="182" dataCellStyle="Comma">
      <calculatedColumnFormula>#REF!</calculatedColumnFormula>
    </tableColumn>
    <tableColumn id="15" xr3:uid="{EF1B48BD-4B23-C048-984F-969A36EC6CE1}" name="2032" dataDxfId="181" totalsRowDxfId="180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79" dataDxfId="178" totalsRowDxfId="177" dataCellStyle="Comma">
  <autoFilter ref="B8:P10" xr:uid="{E6BE8819-74EF-0243-83D9-EC696A1D351F}"/>
  <tableColumns count="15">
    <tableColumn id="1" xr3:uid="{D0D2885A-4D5E-4E46-B852-6808DA59D313}" name="Produk" totalsRowLabel="Total" dataDxfId="176"/>
    <tableColumn id="2" xr3:uid="{1CB01F6E-B1ED-D64D-B0BD-23E3E53023F6}" name="2019" totalsRowFunction="sum" dataDxfId="175" totalsRowDxfId="174" dataCellStyle="Comma">
      <calculatedColumnFormula>#REF!</calculatedColumnFormula>
    </tableColumn>
    <tableColumn id="3" xr3:uid="{DCB192C3-91DC-3E45-AEC4-E3D2C137A2D5}" name="2020" totalsRowFunction="sum" dataDxfId="173" totalsRowDxfId="172" dataCellStyle="Comma">
      <calculatedColumnFormula>#REF!</calculatedColumnFormula>
    </tableColumn>
    <tableColumn id="4" xr3:uid="{E6C180DE-2772-2441-93FB-B7588E5B6492}" name="2021" totalsRowFunction="sum" dataDxfId="171" totalsRowDxfId="170" dataCellStyle="Comma">
      <calculatedColumnFormula>#REF!</calculatedColumnFormula>
    </tableColumn>
    <tableColumn id="5" xr3:uid="{469CD3CF-6462-744C-8BAC-E6F03647D632}" name="2022" totalsRowFunction="sum" dataDxfId="169" totalsRowDxfId="168" dataCellStyle="Comma">
      <calculatedColumnFormula>#REF!</calculatedColumnFormula>
    </tableColumn>
    <tableColumn id="6" xr3:uid="{7F9C2994-4595-BC48-95E7-29BC35B73576}" name="2023" totalsRowFunction="sum" dataDxfId="167" dataCellStyle="Comma">
      <calculatedColumnFormula>#REF!</calculatedColumnFormula>
    </tableColumn>
    <tableColumn id="7" xr3:uid="{8B6255D9-4CA7-434B-A5E8-FBACB2C83FDD}" name="2024" dataDxfId="166" totalsRowDxfId="165" dataCellStyle="Comma">
      <calculatedColumnFormula>#REF!</calculatedColumnFormula>
    </tableColumn>
    <tableColumn id="8" xr3:uid="{F160CBDA-6556-D34B-AFEF-9A4DA3F946CA}" name="2025" dataDxfId="164" totalsRowDxfId="163" dataCellStyle="Comma">
      <calculatedColumnFormula>#REF!</calculatedColumnFormula>
    </tableColumn>
    <tableColumn id="9" xr3:uid="{79196D24-F3A6-5F45-ACB0-1B5911C1DAA0}" name="2026" dataDxfId="162" totalsRowDxfId="161" dataCellStyle="Comma">
      <calculatedColumnFormula>#REF!</calculatedColumnFormula>
    </tableColumn>
    <tableColumn id="10" xr3:uid="{3A202091-9A8A-F349-AFAC-D3575E626EFF}" name="2027" dataDxfId="160" totalsRowDxfId="159" dataCellStyle="Comma">
      <calculatedColumnFormula>#REF!</calculatedColumnFormula>
    </tableColumn>
    <tableColumn id="11" xr3:uid="{43710266-79F5-7448-ACB8-EA6AF60CF213}" name="2028" dataDxfId="158" totalsRowDxfId="157" dataCellStyle="Comma">
      <calculatedColumnFormula>#REF!</calculatedColumnFormula>
    </tableColumn>
    <tableColumn id="12" xr3:uid="{4D0F16A8-89B3-9941-B93B-FECD100FF689}" name="2029" dataDxfId="156" totalsRowDxfId="155" dataCellStyle="Comma">
      <calculatedColumnFormula>#REF!</calculatedColumnFormula>
    </tableColumn>
    <tableColumn id="13" xr3:uid="{6D5B7FE3-4080-6944-BA37-48AE65C1E6B7}" name="2030" dataDxfId="154" totalsRowDxfId="153" dataCellStyle="Comma">
      <calculatedColumnFormula>#REF!</calculatedColumnFormula>
    </tableColumn>
    <tableColumn id="14" xr3:uid="{53FC9BDF-6F34-4444-9FB2-388FA7A90D9D}" name="2031" dataDxfId="152" totalsRowDxfId="151" dataCellStyle="Comma">
      <calculatedColumnFormula>#REF!</calculatedColumnFormula>
    </tableColumn>
    <tableColumn id="15" xr3:uid="{761F26F3-7DA1-C04C-836A-10D25F8EBECB}" name="2032" dataDxfId="150" totalsRowDxfId="149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48" dataDxfId="147" totalsRowDxfId="14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45"/>
    <tableColumn id="2" xr3:uid="{BF9FD117-9D89-6545-A8DD-0203102DDDAC}" name="2019" totalsRowFunction="sum" dataDxfId="144" totalsRowDxfId="143" dataCellStyle="Comma">
      <calculatedColumnFormula>#REF!</calculatedColumnFormula>
    </tableColumn>
    <tableColumn id="3" xr3:uid="{2818C4A9-7E04-0B46-95F9-DE5A3B3080A5}" name="2020" totalsRowFunction="sum" dataDxfId="142" totalsRowDxfId="141" dataCellStyle="Comma">
      <calculatedColumnFormula>#REF!</calculatedColumnFormula>
    </tableColumn>
    <tableColumn id="4" xr3:uid="{CA0DEA62-D652-F241-9090-9124BB9D4F97}" name="2021" totalsRowFunction="sum" dataDxfId="140" totalsRowDxfId="139" dataCellStyle="Comma">
      <calculatedColumnFormula>#REF!</calculatedColumnFormula>
    </tableColumn>
    <tableColumn id="5" xr3:uid="{B4FF4845-3D08-7646-9D46-E1C192E017C8}" name="2022" totalsRowFunction="sum" dataDxfId="138" totalsRowDxfId="137" dataCellStyle="Comma">
      <calculatedColumnFormula>#REF!</calculatedColumnFormula>
    </tableColumn>
    <tableColumn id="6" xr3:uid="{F37F8168-78DB-294A-BE79-CEFAF8321122}" name="2023" totalsRowFunction="sum" dataDxfId="136" dataCellStyle="Comma">
      <calculatedColumnFormula>#REF!</calculatedColumnFormula>
    </tableColumn>
    <tableColumn id="7" xr3:uid="{313A481D-E690-5E40-9356-32C8A89361D8}" name="2024" dataDxfId="135" totalsRowDxfId="134" dataCellStyle="Comma">
      <calculatedColumnFormula>#REF!</calculatedColumnFormula>
    </tableColumn>
    <tableColumn id="8" xr3:uid="{BEDFD046-BF60-8547-8C20-D084BA6D3A8F}" name="2025" dataDxfId="133" totalsRowDxfId="132" dataCellStyle="Comma">
      <calculatedColumnFormula>#REF!</calculatedColumnFormula>
    </tableColumn>
    <tableColumn id="9" xr3:uid="{93344613-7617-C24D-8D5D-C6205EDB39C0}" name="2026" dataDxfId="131" totalsRowDxfId="130" dataCellStyle="Comma">
      <calculatedColumnFormula>#REF!</calculatedColumnFormula>
    </tableColumn>
    <tableColumn id="10" xr3:uid="{A1141682-AB8B-4045-93AA-7AF20DD95FCF}" name="2027" dataDxfId="129" totalsRowDxfId="128" dataCellStyle="Comma">
      <calculatedColumnFormula>#REF!</calculatedColumnFormula>
    </tableColumn>
    <tableColumn id="11" xr3:uid="{848922CD-D37A-784E-B406-FF7DB6A3FFD9}" name="2028" dataDxfId="127" totalsRowDxfId="126" dataCellStyle="Comma">
      <calculatedColumnFormula>#REF!</calculatedColumnFormula>
    </tableColumn>
    <tableColumn id="12" xr3:uid="{D6840AD2-CB80-424A-9FC0-F598D076488C}" name="2029" dataDxfId="125" totalsRowDxfId="124" dataCellStyle="Comma">
      <calculatedColumnFormula>#REF!</calculatedColumnFormula>
    </tableColumn>
    <tableColumn id="13" xr3:uid="{3FC5F7F1-EFBB-6B42-B020-BD479DDEF54C}" name="2030" dataDxfId="123" totalsRowDxfId="122" dataCellStyle="Comma">
      <calculatedColumnFormula>#REF!</calculatedColumnFormula>
    </tableColumn>
    <tableColumn id="14" xr3:uid="{59B3D745-E99A-C048-91B4-C30EE30FE030}" name="2031" dataDxfId="121" totalsRowDxfId="120" dataCellStyle="Comma">
      <calculatedColumnFormula>#REF!</calculatedColumnFormula>
    </tableColumn>
    <tableColumn id="15" xr3:uid="{E7C7A760-9A50-EF4E-9F9A-04F5939B53B3}" name="2032" dataDxfId="119" totalsRowDxfId="11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17" dataDxfId="116" totalsRowDxfId="115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14"/>
    <tableColumn id="2" xr3:uid="{0FE0173E-4A0A-C040-A5BF-13AFD6F74E10}" name="2019" totalsRowFunction="sum" dataDxfId="113" totalsRowDxfId="112" dataCellStyle="Comma"/>
    <tableColumn id="3" xr3:uid="{AA2A7934-1ED5-1841-9585-036B084CAE84}" name="2020" totalsRowFunction="sum" dataDxfId="111" totalsRowDxfId="110" dataCellStyle="Comma"/>
    <tableColumn id="4" xr3:uid="{513FEEBB-6A8F-574A-8F63-64E55E4DB319}" name="2021" totalsRowFunction="sum" dataDxfId="109" totalsRowDxfId="108" dataCellStyle="Comma"/>
    <tableColumn id="5" xr3:uid="{BED0975A-DF8E-C54C-B0E5-F85B60CA1335}" name="2022" totalsRowFunction="sum" dataDxfId="107" totalsRowDxfId="106" dataCellStyle="Comma"/>
    <tableColumn id="6" xr3:uid="{AB8F1B16-FC68-774A-B5DD-4EE17748FA9B}" name="2023" totalsRowFunction="sum" dataDxfId="105" totalsRowDxfId="104" dataCellStyle="Comma"/>
    <tableColumn id="7" xr3:uid="{D2F57DD7-6B8F-444D-A81B-D11878E66625}" name="2024" dataDxfId="103" totalsRowDxfId="102" dataCellStyle="Comma">
      <calculatedColumnFormula>Table36[[#This Row],[2023]]+(H2-G2)*100*$H$9</calculatedColumnFormula>
    </tableColumn>
    <tableColumn id="8" xr3:uid="{1F02D350-400D-8F4D-B198-B879C4D29351}" name="2025" dataDxfId="101" totalsRowDxfId="100" dataCellStyle="Comma">
      <calculatedColumnFormula>Table36[[#This Row],[2024]]+(I2-H2)*100*$H$9</calculatedColumnFormula>
    </tableColumn>
    <tableColumn id="9" xr3:uid="{7B59BB08-B683-F54E-8520-C0BE68887345}" name="2026" dataDxfId="99" totalsRowDxfId="98" dataCellStyle="Comma">
      <calculatedColumnFormula>Table36[[#This Row],[2025]]+(J2-I2)*100*$H$9</calculatedColumnFormula>
    </tableColumn>
    <tableColumn id="10" xr3:uid="{E67B878D-18EA-7548-9411-AA947352680D}" name="2027" dataDxfId="97" totalsRowDxfId="96" dataCellStyle="Comma">
      <calculatedColumnFormula>Table36[[#This Row],[2026]]+(K2-J2)*100*$H$9</calculatedColumnFormula>
    </tableColumn>
    <tableColumn id="11" xr3:uid="{909164A4-A24D-FC4A-85E7-81ADE8AE50D2}" name="2028" dataDxfId="95" totalsRowDxfId="94" dataCellStyle="Comma">
      <calculatedColumnFormula>Table36[[#This Row],[2027]]+(L2-K2)*100*$H$9</calculatedColumnFormula>
    </tableColumn>
    <tableColumn id="12" xr3:uid="{AA2289B0-A74F-F047-9745-BBDFD3F7D472}" name="2029" dataDxfId="93" totalsRowDxfId="92" dataCellStyle="Comma">
      <calculatedColumnFormula>Table36[[#This Row],[2028]]+(M2-L2)*100*$H$9</calculatedColumnFormula>
    </tableColumn>
    <tableColumn id="13" xr3:uid="{5A77795F-5802-6049-BD3D-E5F2DC4167E7}" name="2030" dataDxfId="91" totalsRowDxfId="90" dataCellStyle="Comma">
      <calculatedColumnFormula>Table36[[#This Row],[2029]]+(N2-M2)*100*$H$9</calculatedColumnFormula>
    </tableColumn>
    <tableColumn id="14" xr3:uid="{91BF1624-0775-4B4D-AEB5-F4CCE8DFB0BD}" name="2031" dataDxfId="89" totalsRowDxfId="88" dataCellStyle="Comma">
      <calculatedColumnFormula>Table36[[#This Row],[2030]]+(O2-N2)*100*$H$9</calculatedColumnFormula>
    </tableColumn>
    <tableColumn id="15" xr3:uid="{724851DA-4475-6F4C-B969-ADA0E125A99B}" name="2032" dataDxfId="87" totalsRowDxfId="86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85" dataDxfId="84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83">
      <calculatedColumnFormula array="1">Table36[2023]-Table36[2022]</calculatedColumnFormula>
    </tableColumn>
    <tableColumn id="2" xr3:uid="{A1A7ADBB-EEE7-B44F-8642-79DB0BA2C9B2}" name="1%" dataDxfId="82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81" dataDxfId="80" totalsRowDxfId="79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78" totalsRowDxfId="77"/>
    <tableColumn id="15" xr3:uid="{8E5BD366-1155-CE49-BBB4-3F27339B0B75}" name="2019" dataDxfId="76" totalsRowDxfId="75"/>
    <tableColumn id="14" xr3:uid="{FB0FC5E1-B965-6742-807F-7E3890DBDC3F}" name="2020" dataDxfId="74" totalsRowDxfId="73"/>
    <tableColumn id="13" xr3:uid="{794A7C86-2D33-554F-9012-765C40A5C94A}" name="2021" dataDxfId="72" totalsRowDxfId="71"/>
    <tableColumn id="2" xr3:uid="{72BB7C90-7123-8548-AD32-67D10EFB4941}" name="2022" totalsRowFunction="sum" dataDxfId="70" totalsRowDxfId="69" dataCellStyle="Comma"/>
    <tableColumn id="3" xr3:uid="{D1916A1A-7235-5944-952D-C5B2D3DDE06E}" name="2023" totalsRowFunction="sum" dataDxfId="68" totalsRowDxfId="67" dataCellStyle="Comma"/>
    <tableColumn id="4" xr3:uid="{DCCF41AD-21FF-E24A-BBC9-25283DF564ED}" name="2024" totalsRowFunction="sum" dataDxfId="66" totalsRowDxfId="65" dataCellStyle="Comma"/>
    <tableColumn id="5" xr3:uid="{2D2438E8-19A3-DC49-8708-643DF91EF6CA}" name="2025" totalsRowFunction="sum" dataDxfId="64" totalsRowDxfId="63" dataCellStyle="Comma"/>
    <tableColumn id="6" xr3:uid="{D2DA396E-5667-2944-A522-E55C0615C95B}" name="2026" totalsRowFunction="sum" dataDxfId="62" totalsRowDxfId="61" dataCellStyle="Comma"/>
    <tableColumn id="7" xr3:uid="{EDE1AE77-74CD-4C4A-AB30-33B40B187F4D}" name="2027" totalsRowFunction="custom" dataDxfId="60" totalsRowDxfId="59" dataCellStyle="Comma">
      <totalsRowFormula>Table3[[#Totals],[2026]]+K12</totalsRowFormula>
    </tableColumn>
    <tableColumn id="8" xr3:uid="{E3A4E7A4-9B95-9C45-AD94-5E313CD83314}" name="2028" totalsRowFunction="custom" dataDxfId="58" totalsRowDxfId="57" dataCellStyle="Comma">
      <totalsRowFormula>Table3[[#Totals],[2027]]+L12</totalsRowFormula>
    </tableColumn>
    <tableColumn id="9" xr3:uid="{5396A41B-238E-934A-B88C-05665FF32EAB}" name="2029" totalsRowFunction="custom" dataDxfId="56" totalsRowDxfId="55" dataCellStyle="Comma">
      <totalsRowFormula>Table3[[#Totals],[2028]]+M12</totalsRowFormula>
    </tableColumn>
    <tableColumn id="10" xr3:uid="{4B95DC7B-03C0-554B-8874-CA493F12F898}" name="2030" totalsRowFunction="custom" dataDxfId="54" totalsRowDxfId="53" dataCellStyle="Comma">
      <totalsRowFormula>Table3[[#Totals],[2029]]+N12</totalsRowFormula>
    </tableColumn>
    <tableColumn id="11" xr3:uid="{7AFBF0D8-EFCB-BD40-9797-A8DA640BE121}" name="2031" totalsRowFunction="custom" dataDxfId="52" totalsRowDxfId="51" dataCellStyle="Comma">
      <totalsRowFormula>Table3[[#Totals],[2030]]+O12</totalsRowFormula>
    </tableColumn>
    <tableColumn id="12" xr3:uid="{F50F8622-B86E-DE4B-8344-97514986A226}" name="2032" totalsRowFunction="custom" dataDxfId="50" totalsRowDxfId="49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48" dataDxfId="47" totalsRowDxfId="46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45" totalsRowDxfId="44"/>
    <tableColumn id="15" xr3:uid="{968DDC5B-E089-D843-A52D-7172723D8D2A}" name="2019" dataDxfId="43" totalsRowDxfId="42"/>
    <tableColumn id="14" xr3:uid="{78BB3794-9BF6-8D40-9094-953658171EEA}" name="2020" dataDxfId="41" totalsRowDxfId="40"/>
    <tableColumn id="13" xr3:uid="{A8272FC9-0AD5-BF4D-989E-3C102689BF68}" name="2021" dataDxfId="39" totalsRowDxfId="38"/>
    <tableColumn id="2" xr3:uid="{B4B4FEAA-CB59-9346-9F47-FF72671E2EE8}" name="2022" totalsRowFunction="sum" dataDxfId="37" totalsRowDxfId="36" dataCellStyle="Comma"/>
    <tableColumn id="3" xr3:uid="{231FA472-4B76-4041-8A73-8F9C4AEBBE8F}" name="2023" totalsRowFunction="sum" dataDxfId="35" totalsRowDxfId="34" dataCellStyle="Comma"/>
    <tableColumn id="4" xr3:uid="{2E117CD9-E0EC-D746-814E-EC6AAAC8290B}" name="2024" totalsRowFunction="custom" dataDxfId="33" totalsRowDxfId="32">
      <totalsRowFormula>Table4[[#Totals],[2023]]+(H2-G2)*100*$I$11</totalsRowFormula>
    </tableColumn>
    <tableColumn id="5" xr3:uid="{F927B8CF-7FCD-114C-9E2D-B44F29CFF80D}" name="2025" totalsRowFunction="custom" dataDxfId="31" totalsRowDxfId="30">
      <totalsRowFormula>Table4[[#Totals],[2024]]+(I2-H2)*100*$I$11</totalsRowFormula>
    </tableColumn>
    <tableColumn id="6" xr3:uid="{07104418-C75B-EE40-9CDC-49C0D474463F}" name="2026" totalsRowFunction="custom" dataDxfId="29" totalsRowDxfId="28">
      <totalsRowFormula>Table4[[#Totals],[2025]]+(J2-I2)*100*$I$11</totalsRowFormula>
    </tableColumn>
    <tableColumn id="7" xr3:uid="{DD42A9E1-1AC5-A249-A036-872FCF3A21BF}" name="2027" totalsRowFunction="custom" dataDxfId="27" totalsRowDxfId="26">
      <totalsRowFormula>Table4[[#Totals],[2026]]+(K2-J2)*100*$I$11</totalsRowFormula>
    </tableColumn>
    <tableColumn id="8" xr3:uid="{BB3B38F4-7B6D-4A4B-A663-5855598CB7D4}" name="2028" totalsRowFunction="custom" dataDxfId="25" totalsRowDxfId="24">
      <totalsRowFormula>Table4[[#Totals],[2027]]+(L2-K2)*100*$I$11</totalsRowFormula>
    </tableColumn>
    <tableColumn id="9" xr3:uid="{9F83B130-E9C9-904F-89DD-F5CF18D1A800}" name="2029" totalsRowFunction="custom" dataDxfId="23" totalsRowDxfId="22">
      <totalsRowFormula>Table4[[#Totals],[2028]]+(M2-L2)*100*$I$11</totalsRowFormula>
    </tableColumn>
    <tableColumn id="10" xr3:uid="{61DE65DA-614C-5D46-9E42-B760A7726F49}" name="2030" totalsRowFunction="custom" dataDxfId="21" totalsRowDxfId="20">
      <totalsRowFormula>Table4[[#Totals],[2029]]+(N2-M2)*100*$I$11</totalsRowFormula>
    </tableColumn>
    <tableColumn id="11" xr3:uid="{F9EEB720-D487-8B44-9A5E-608CDE69A8E5}" name="2031" totalsRowFunction="custom" dataDxfId="19" totalsRowDxfId="18">
      <totalsRowFormula>Table4[[#Totals],[2030]]+(O2-N2)*100*$I$11</totalsRowFormula>
    </tableColumn>
    <tableColumn id="12" xr3:uid="{BC9CD56F-EA9F-9B44-89E9-D5ADAD5581E1}" name="2032" totalsRowFunction="custom" dataDxfId="17" totalsRowDxfId="16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15" dataDxfId="14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3">
      <calculatedColumnFormula>Table4[[#Totals],[2023]]-Table4[[#Totals],[2022]]</calculatedColumnFormula>
    </tableColumn>
    <tableColumn id="2" xr3:uid="{BD08AFDC-A92D-1848-A18B-79184B6FFB70}" name="1%" dataDxfId="12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tabSelected="1" zoomScaleNormal="100" workbookViewId="0"/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80</v>
      </c>
      <c r="C3" s="20">
        <f>'TE Office'!C9</f>
        <v>0.80649534844370618</v>
      </c>
      <c r="D3" s="20">
        <f>'TE Office'!D9</f>
        <v>0.84026537663964185</v>
      </c>
      <c r="E3" s="20">
        <f>'TE Office'!E9</f>
        <v>0.90220391872154071</v>
      </c>
      <c r="F3" s="20">
        <f>'TE Office'!F9</f>
        <v>0.9044747124226673</v>
      </c>
      <c r="G3" s="20">
        <f>'TE Office'!G9</f>
        <v>0.90451175770853975</v>
      </c>
      <c r="H3" s="20">
        <f>'TE Office'!H9</f>
        <v>0.92648493577571611</v>
      </c>
      <c r="I3" s="20">
        <f>'TE Office'!I9</f>
        <v>0.92570461114658731</v>
      </c>
      <c r="J3" s="20">
        <f>'TE Office'!J9</f>
        <v>0.92721293054160059</v>
      </c>
      <c r="K3" s="20">
        <f>'TE Office'!K9</f>
        <v>0.92721293054160059</v>
      </c>
      <c r="L3" s="20">
        <f>'TE Office'!L9</f>
        <v>0.92721293054160059</v>
      </c>
      <c r="M3" s="20">
        <f>'TE Office'!M9</f>
        <v>0.92721293054160059</v>
      </c>
    </row>
    <row r="4" spans="2:14" s="2" customFormat="1" x14ac:dyDescent="0.2">
      <c r="B4" s="2" t="s">
        <v>81</v>
      </c>
      <c r="C4" s="95">
        <f>'TE Office'!C18</f>
        <v>0.80525498994983757</v>
      </c>
      <c r="D4" s="95">
        <f>'TE Office'!D18</f>
        <v>0.80985763184168136</v>
      </c>
      <c r="E4" s="95">
        <f>'TE Office'!E18</f>
        <v>0.86385627153958866</v>
      </c>
      <c r="F4" s="95">
        <f>'TE Office'!F18</f>
        <v>0.86259294496847894</v>
      </c>
      <c r="G4" s="95">
        <f>'TE Office'!G18</f>
        <v>0.86038191766189331</v>
      </c>
      <c r="H4" s="95">
        <f>'TE Office'!H18</f>
        <v>0.84411497590289675</v>
      </c>
      <c r="I4" s="95">
        <f>'TE Office'!I18</f>
        <v>0.84176328627380548</v>
      </c>
      <c r="J4" s="95">
        <f>'TE Office'!J18</f>
        <v>0.84175505398805606</v>
      </c>
      <c r="K4" s="95">
        <f>'TE Office'!K18</f>
        <v>0.84175505398805606</v>
      </c>
      <c r="L4" s="95">
        <f>'TE Office'!L18</f>
        <v>0.84175505398805606</v>
      </c>
      <c r="M4" s="95">
        <f>'TE Office'!M18</f>
        <v>0.84175505398805606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Office'!C7</f>
        <v>248951980320.72696</v>
      </c>
      <c r="D13" s="8">
        <f>'TE Office'!D7</f>
        <v>257601884350.43256</v>
      </c>
      <c r="E13" s="8">
        <f>'TE Office'!E7</f>
        <v>277388735203.60236</v>
      </c>
      <c r="F13" s="8">
        <f>'TE Office'!F7</f>
        <v>278166515859.30579</v>
      </c>
      <c r="G13" s="8">
        <f>'TE Office'!G7</f>
        <v>277485942859.30579</v>
      </c>
      <c r="H13" s="8">
        <f>'TE Office'!H7</f>
        <v>286339746626.41614</v>
      </c>
      <c r="I13" s="8">
        <f>'TE Office'!I7</f>
        <v>286482307868.04254</v>
      </c>
      <c r="J13" s="8">
        <f>'TE Office'!J7</f>
        <v>287010941468.04254</v>
      </c>
      <c r="K13" s="8">
        <f>'TE Office'!K7</f>
        <v>288218875367.69824</v>
      </c>
      <c r="L13" s="8">
        <f>'TE Office'!L7</f>
        <v>288621520000.91675</v>
      </c>
      <c r="M13" s="8">
        <f>'TE Office'!M7</f>
        <v>288621520000.91675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16399663023.428572</v>
      </c>
      <c r="E15" s="8" cm="1">
        <f t="array" ref="E15">Table36[2024]</f>
        <v>19689295616.715302</v>
      </c>
      <c r="F15" s="8" cm="1">
        <f t="array" ref="F15">Table36[2025]</f>
        <v>19809900279.349739</v>
      </c>
      <c r="G15" s="8" cm="1">
        <f t="array" ref="G15">Table36[2026]</f>
        <v>19811867800.310638</v>
      </c>
      <c r="H15" s="8" cm="1">
        <f t="array" ref="H15">Table36[2027]</f>
        <v>20978890470.174236</v>
      </c>
      <c r="I15" s="8" cm="1">
        <f t="array" ref="I15">Table36[2028]</f>
        <v>20937446463.792358</v>
      </c>
      <c r="J15" s="8" cm="1">
        <f t="array" ref="J15">Table36[2029]</f>
        <v>21017555172.782658</v>
      </c>
      <c r="K15" s="8" cm="1">
        <f t="array" ref="K15">Table36[2030]</f>
        <v>21017555172.782658</v>
      </c>
      <c r="L15" s="8" cm="1">
        <f t="array" ref="L15">Table36[2031]</f>
        <v>21017555172.782658</v>
      </c>
      <c r="M15" s="8" cm="1">
        <f t="array" ref="M15">Table36[2032]</f>
        <v>21017555172.782658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9645327521.1890831</v>
      </c>
      <c r="F17" s="8">
        <f>Table4[[#Totals],[2025]]</f>
        <v>9737588315.9463348</v>
      </c>
      <c r="G17" s="8">
        <f>Table4[[#Totals],[2026]]</f>
        <v>9739093440.5707798</v>
      </c>
      <c r="H17" s="8">
        <f>Table4[[#Totals],[2027]]</f>
        <v>10631848634.851328</v>
      </c>
      <c r="I17" s="8">
        <f>Table4[[#Totals],[2028]]</f>
        <v>10600144578.945076</v>
      </c>
      <c r="J17" s="8">
        <f>Table4[[#Totals],[2029]]</f>
        <v>10661426564.209816</v>
      </c>
      <c r="K17" s="8">
        <f>Table4[[#Totals],[2030]]</f>
        <v>10661426564.209816</v>
      </c>
      <c r="L17" s="8">
        <f>Table4[[#Totals],[2031]]</f>
        <v>10661426564.209816</v>
      </c>
      <c r="M17" s="8">
        <f>Table4[[#Totals],[2032]]</f>
        <v>10661426564.209816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5000000000</v>
      </c>
      <c r="F18" s="8">
        <f>SH!I4</f>
        <v>5500000000</v>
      </c>
      <c r="G18" s="8">
        <f>SH!J4</f>
        <v>6000000000</v>
      </c>
      <c r="H18" s="8">
        <f>SH!K4</f>
        <v>6500000000</v>
      </c>
      <c r="I18" s="8">
        <f>SH!L4</f>
        <v>7000000000</v>
      </c>
      <c r="J18" s="8">
        <f>SH!M4</f>
        <v>7500000000</v>
      </c>
      <c r="K18" s="8">
        <f>SH!N4</f>
        <v>8000000000</v>
      </c>
      <c r="L18" s="8">
        <f>SH!O4</f>
        <v>8000000000</v>
      </c>
      <c r="M18" s="8">
        <f>SH!P4</f>
        <v>8000000000</v>
      </c>
      <c r="N18" s="23"/>
    </row>
    <row r="19" spans="2:14" ht="20" customHeight="1" x14ac:dyDescent="0.2">
      <c r="B19" s="1" t="s">
        <v>6</v>
      </c>
      <c r="C19" s="8">
        <v>3500000000</v>
      </c>
      <c r="D19" s="8">
        <v>3500000000</v>
      </c>
      <c r="E19" s="8">
        <v>3500000000</v>
      </c>
      <c r="F19" s="8">
        <v>3500000000</v>
      </c>
      <c r="G19" s="8">
        <v>3500000000</v>
      </c>
      <c r="H19" s="8">
        <v>3500000000</v>
      </c>
      <c r="I19" s="8">
        <v>3500000000</v>
      </c>
      <c r="J19" s="8">
        <v>3500000000</v>
      </c>
      <c r="K19" s="8">
        <v>3500000000</v>
      </c>
      <c r="L19" s="8">
        <v>3500000000</v>
      </c>
      <c r="M19" s="8">
        <v>3500000000</v>
      </c>
      <c r="N19" s="23"/>
    </row>
    <row r="20" spans="2:14" ht="20" customHeight="1" x14ac:dyDescent="0.2">
      <c r="B20" s="1" t="s">
        <v>0</v>
      </c>
      <c r="C20" s="8">
        <f>Ampera!C4</f>
        <v>8071906956</v>
      </c>
      <c r="D20" s="8">
        <f>Ampera!D4</f>
        <v>8071906956</v>
      </c>
      <c r="E20" s="8">
        <f>Ampera!E4</f>
        <v>8071906956</v>
      </c>
      <c r="F20" s="8">
        <f>Ampera!F4</f>
        <v>8071906956</v>
      </c>
      <c r="G20" s="8">
        <f>Ampera!G4</f>
        <v>8896666956</v>
      </c>
      <c r="H20" s="8">
        <f>Ampera!H4</f>
        <v>8896666956</v>
      </c>
      <c r="I20" s="8">
        <f>Ampera!I4</f>
        <v>8896666956</v>
      </c>
      <c r="J20" s="8">
        <f>Ampera!J4</f>
        <v>8896666956</v>
      </c>
      <c r="K20" s="8">
        <f>Ampera!K4</f>
        <v>8896666956</v>
      </c>
      <c r="L20" s="8">
        <f>Ampera!L4</f>
        <v>8896666956</v>
      </c>
      <c r="M20" s="8">
        <f>Ampera!M4</f>
        <v>8896666956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82</v>
      </c>
      <c r="C22" s="8">
        <f>Dago!F4</f>
        <v>8000000000</v>
      </c>
      <c r="D22" s="8">
        <f>Dago!G4</f>
        <v>8000000000</v>
      </c>
      <c r="E22" s="8">
        <f>Dago!H4</f>
        <v>9000000000</v>
      </c>
      <c r="F22" s="8">
        <f>Dago!I4</f>
        <v>9000000000</v>
      </c>
      <c r="G22" s="8">
        <f>Dago!J4</f>
        <v>10000000000</v>
      </c>
      <c r="H22" s="8">
        <f>Dago!K4</f>
        <v>10000000000</v>
      </c>
      <c r="I22" s="8">
        <f>Dago!L4</f>
        <v>11000000000</v>
      </c>
      <c r="J22" s="8">
        <f>Dago!M4</f>
        <v>11000000000</v>
      </c>
      <c r="K22" s="8">
        <f>Dago!N4</f>
        <v>12000000000</v>
      </c>
      <c r="L22" s="8">
        <f>Dago!O4</f>
        <v>12000000000</v>
      </c>
      <c r="M22" s="8">
        <f>Dago!P4</f>
        <v>13000000000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319090058680.66931</v>
      </c>
      <c r="D23" s="9">
        <f>SUBTOTAL(109,Table2[2023])</f>
        <v>333726974278.32971</v>
      </c>
      <c r="E23" s="9">
        <f>SUBTOTAL(109,Table2[2024])</f>
        <v>361287978320.97528</v>
      </c>
      <c r="F23" s="9">
        <f>SUBTOTAL(109,Table2[2025])</f>
        <v>363484014434.07043</v>
      </c>
      <c r="G23" s="9">
        <f>SUBTOTAL(109,Table2[2026])</f>
        <v>365726754079.65582</v>
      </c>
      <c r="H23" s="9">
        <f>SUBTOTAL(109,Table2[2027])</f>
        <v>377740335710.91028</v>
      </c>
      <c r="I23" s="9">
        <f>SUBTOTAL(109,Table2[2028])</f>
        <v>379909748890.24854</v>
      </c>
      <c r="J23" s="9">
        <f>SUBTOTAL(109,Table2[2029])</f>
        <v>381679773184.5036</v>
      </c>
      <c r="K23" s="9">
        <f>SUBTOTAL(109,Table2[2030])</f>
        <v>384987707084.1593</v>
      </c>
      <c r="L23" s="9">
        <f>SUBTOTAL(109,Table2[2031])</f>
        <v>385990351717.37781</v>
      </c>
      <c r="M23" s="9">
        <f>SUBTOTAL(109,Table2[2032])</f>
        <v>387590351717.37781</v>
      </c>
      <c r="N23" s="24"/>
    </row>
    <row r="24" spans="2:14" ht="20" customHeight="1" x14ac:dyDescent="0.2">
      <c r="D24" s="8">
        <f>Table2[[#Totals],[2023]]/14750</f>
        <v>22625557.578191847</v>
      </c>
      <c r="E24" s="8">
        <f>Table2[[#Totals],[2024]]/14750</f>
        <v>24494100.225150868</v>
      </c>
      <c r="F24" s="8">
        <f>Table2[[#Totals],[2025]]/14750</f>
        <v>24642984.029428504</v>
      </c>
      <c r="G24" s="8">
        <f>Table2[[#Totals],[2026]]/14750</f>
        <v>24795034.174891919</v>
      </c>
      <c r="H24" s="8">
        <f>Table2[[#Totals],[2027]]/14750</f>
        <v>25609514.285485443</v>
      </c>
      <c r="I24" s="8">
        <f>Table2[[#Totals],[2028]]/14750</f>
        <v>25756593.145101596</v>
      </c>
      <c r="J24" s="8">
        <f>Table2[[#Totals],[2029]]/14750</f>
        <v>25876594.792169735</v>
      </c>
      <c r="K24" s="8">
        <f>Table2[[#Totals],[2030]]/14750</f>
        <v>26100861.497231141</v>
      </c>
      <c r="L24" s="8">
        <f>Table2[[#Totals],[2031]]/14750</f>
        <v>26168837.404567987</v>
      </c>
      <c r="M24" s="8">
        <f>Table2[[#Totals],[2032]]/14750</f>
        <v>26277311.980839174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6">
        <f>'TE Office'!C16</f>
        <v>248555490720.72696</v>
      </c>
      <c r="D28" s="96">
        <f>'TE Office'!D16</f>
        <v>247725126742.11261</v>
      </c>
      <c r="E28" s="96">
        <f>'TE Office'!E16</f>
        <v>264727726609.62979</v>
      </c>
      <c r="F28" s="96">
        <f>'TE Office'!F16</f>
        <v>264273661472.84836</v>
      </c>
      <c r="G28" s="96">
        <f>'TE Office'!G16</f>
        <v>262845412632.84836</v>
      </c>
      <c r="H28" s="96">
        <f>'TE Office'!H16</f>
        <v>258128283672.504</v>
      </c>
      <c r="I28" s="96">
        <f>'TE Office'!I16</f>
        <v>257680431645.72256</v>
      </c>
      <c r="J28" s="96">
        <f>'TE Office'!J16</f>
        <v>257680431645.72256</v>
      </c>
      <c r="K28" s="96">
        <f>'TE Office'!K16</f>
        <v>258673138195.3782</v>
      </c>
      <c r="L28" s="96">
        <f>'TE Office'!L16</f>
        <v>259004040378.59674</v>
      </c>
      <c r="M28" s="96">
        <f>'TE Office'!M16</f>
        <v>259004040378.59674</v>
      </c>
      <c r="N28" s="22"/>
    </row>
    <row r="29" spans="2:14" ht="20" customHeight="1" x14ac:dyDescent="0.2">
      <c r="B29" s="1" t="s">
        <v>8</v>
      </c>
      <c r="C29" s="96">
        <v>7000000000</v>
      </c>
      <c r="D29" s="96">
        <v>7800000000</v>
      </c>
      <c r="E29" s="96">
        <v>7800000000</v>
      </c>
      <c r="F29" s="96">
        <v>7800000000</v>
      </c>
      <c r="G29" s="96">
        <v>7800000000</v>
      </c>
      <c r="H29" s="96">
        <v>7800000000</v>
      </c>
      <c r="I29" s="96">
        <v>7800000000</v>
      </c>
      <c r="J29" s="96">
        <v>7800000000</v>
      </c>
      <c r="K29" s="96">
        <v>7800000000</v>
      </c>
      <c r="L29" s="96">
        <v>7800000000</v>
      </c>
      <c r="M29" s="96">
        <v>7800000000</v>
      </c>
      <c r="N29" s="23"/>
    </row>
    <row r="30" spans="2:14" ht="20" customHeight="1" x14ac:dyDescent="0.2">
      <c r="B30" s="1" t="s">
        <v>2</v>
      </c>
      <c r="C30" s="96" cm="1">
        <f t="array" ref="C30">Table36[2022]</f>
        <v>15151548951.902332</v>
      </c>
      <c r="D30" s="96" cm="1">
        <f t="array" ref="D30">Table36[2023]</f>
        <v>16399663023.428572</v>
      </c>
      <c r="E30" s="96" cm="1">
        <f t="array" ref="E30">Table36[2024]</f>
        <v>19689295616.715302</v>
      </c>
      <c r="F30" s="96" cm="1">
        <f t="array" ref="F30">Table36[2025]</f>
        <v>19809900279.349739</v>
      </c>
      <c r="G30" s="96" cm="1">
        <f t="array" ref="G30">Table36[2026]</f>
        <v>19811867800.310638</v>
      </c>
      <c r="H30" s="96" cm="1">
        <f t="array" ref="H30">Table36[2027]</f>
        <v>20978890470.174236</v>
      </c>
      <c r="I30" s="96" cm="1">
        <f t="array" ref="I30">Table36[2028]</f>
        <v>20937446463.792358</v>
      </c>
      <c r="J30" s="96" cm="1">
        <f t="array" ref="J30">Table36[2029]</f>
        <v>21017555172.782658</v>
      </c>
      <c r="K30" s="96" cm="1">
        <f t="array" ref="K30">Table36[2030]</f>
        <v>21017555172.782658</v>
      </c>
      <c r="L30" s="96" cm="1">
        <f t="array" ref="L30">Table36[2031]</f>
        <v>21017555172.782658</v>
      </c>
      <c r="M30" s="96" cm="1">
        <f t="array" ref="M30">Table36[2032]</f>
        <v>21017555172.782658</v>
      </c>
      <c r="N30" s="23"/>
    </row>
    <row r="31" spans="2:14" ht="20" customHeight="1" x14ac:dyDescent="0.2">
      <c r="B31" s="1" t="s">
        <v>3</v>
      </c>
      <c r="C31" s="96">
        <f>Table3[[#Totals],[2022]]</f>
        <v>16440604452.040001</v>
      </c>
      <c r="D31" s="96">
        <f>Table3[[#Totals],[2023]]</f>
        <v>18124713023.468571</v>
      </c>
      <c r="E31" s="96">
        <f>Table3[[#Totals],[2024]]</f>
        <v>18592713023.468571</v>
      </c>
      <c r="F31" s="96">
        <f>Table3[[#Totals],[2025]]</f>
        <v>19298103023.468571</v>
      </c>
      <c r="G31" s="96">
        <f>Table3[[#Totals],[2026]]</f>
        <v>19893183023.468571</v>
      </c>
      <c r="H31" s="96">
        <f>Table3[[#Totals],[2027]]</f>
        <v>20493183023.468571</v>
      </c>
      <c r="I31" s="96">
        <f>Table3[[#Totals],[2028]]</f>
        <v>21093183023.468571</v>
      </c>
      <c r="J31" s="96">
        <f>Table3[[#Totals],[2029]]</f>
        <v>21693183023.468571</v>
      </c>
      <c r="K31" s="96">
        <f>Table3[[#Totals],[2030]]</f>
        <v>22293183023.468571</v>
      </c>
      <c r="L31" s="96">
        <f>Table3[[#Totals],[2031]]</f>
        <v>22893183023.468571</v>
      </c>
      <c r="M31" s="96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96">
        <f>Table4[[#Totals],[2022]]</f>
        <v>6174018000</v>
      </c>
      <c r="D32" s="96">
        <f>Table4[[#Totals],[2023]]</f>
        <v>7128806925</v>
      </c>
      <c r="E32" s="96">
        <f>Table4[[#Totals],[2024]]</f>
        <v>9645327521.1890831</v>
      </c>
      <c r="F32" s="96">
        <f>Table4[[#Totals],[2025]]</f>
        <v>9737588315.9463348</v>
      </c>
      <c r="G32" s="96">
        <f>Table4[[#Totals],[2026]]</f>
        <v>9739093440.5707798</v>
      </c>
      <c r="H32" s="96">
        <f>Table4[[#Totals],[2027]]</f>
        <v>10631848634.851328</v>
      </c>
      <c r="I32" s="96">
        <f>Table4[[#Totals],[2028]]</f>
        <v>10600144578.945076</v>
      </c>
      <c r="J32" s="96">
        <f>Table4[[#Totals],[2029]]</f>
        <v>10661426564.209816</v>
      </c>
      <c r="K32" s="96">
        <f>Table4[[#Totals],[2030]]</f>
        <v>10661426564.209816</v>
      </c>
      <c r="L32" s="96">
        <f>Table4[[#Totals],[2031]]</f>
        <v>10661426564.209816</v>
      </c>
      <c r="M32" s="96">
        <f>Table4[[#Totals],[2032]]</f>
        <v>10661426564.209816</v>
      </c>
      <c r="N32" s="23"/>
    </row>
    <row r="33" spans="2:14" ht="20" customHeight="1" x14ac:dyDescent="0.2">
      <c r="B33" s="1" t="s">
        <v>5</v>
      </c>
      <c r="C33" s="96">
        <f>SH!F9</f>
        <v>3200000000</v>
      </c>
      <c r="D33" s="96">
        <f>SH!G9</f>
        <v>4500000000</v>
      </c>
      <c r="E33" s="96">
        <f>SH!H9</f>
        <v>4750000000</v>
      </c>
      <c r="F33" s="96">
        <f>SH!I9</f>
        <v>5000000000</v>
      </c>
      <c r="G33" s="96">
        <f>SH!J9</f>
        <v>5250000000</v>
      </c>
      <c r="H33" s="96">
        <f>SH!K9</f>
        <v>5750000000</v>
      </c>
      <c r="I33" s="96">
        <f>SH!L9</f>
        <v>6250000000</v>
      </c>
      <c r="J33" s="96">
        <f>SH!M9</f>
        <v>6750000000</v>
      </c>
      <c r="K33" s="96">
        <f>SH!N9</f>
        <v>7250000000</v>
      </c>
      <c r="L33" s="96">
        <f>SH!O9</f>
        <v>7250000000</v>
      </c>
      <c r="M33" s="96">
        <f>SH!P9</f>
        <v>7250000000</v>
      </c>
      <c r="N33" s="23"/>
    </row>
    <row r="34" spans="2:14" ht="20" customHeight="1" x14ac:dyDescent="0.2">
      <c r="B34" s="1" t="s">
        <v>6</v>
      </c>
      <c r="C34" s="96">
        <v>3500000000</v>
      </c>
      <c r="D34" s="96">
        <v>3500000000</v>
      </c>
      <c r="E34" s="96">
        <v>3500000000</v>
      </c>
      <c r="F34" s="96">
        <v>3500000000</v>
      </c>
      <c r="G34" s="96">
        <v>3500000000</v>
      </c>
      <c r="H34" s="96">
        <v>3500000000</v>
      </c>
      <c r="I34" s="96">
        <v>3500000000</v>
      </c>
      <c r="J34" s="96">
        <v>3500000000</v>
      </c>
      <c r="K34" s="96">
        <v>3500000000</v>
      </c>
      <c r="L34" s="96">
        <v>3500000000</v>
      </c>
      <c r="M34" s="96">
        <v>3500000000</v>
      </c>
      <c r="N34" s="23"/>
    </row>
    <row r="35" spans="2:14" ht="20" customHeight="1" x14ac:dyDescent="0.2">
      <c r="B35" s="1" t="s">
        <v>0</v>
      </c>
      <c r="C35" s="96">
        <f>Ampera!C4</f>
        <v>8071906956</v>
      </c>
      <c r="D35" s="96">
        <f>Ampera!D4</f>
        <v>8071906956</v>
      </c>
      <c r="E35" s="96">
        <f>Ampera!E4</f>
        <v>8071906956</v>
      </c>
      <c r="F35" s="96">
        <f>Ampera!F4</f>
        <v>8071906956</v>
      </c>
      <c r="G35" s="96">
        <f>Ampera!G4</f>
        <v>8896666956</v>
      </c>
      <c r="H35" s="96">
        <f>Ampera!H4</f>
        <v>8896666956</v>
      </c>
      <c r="I35" s="96">
        <f>Ampera!I4</f>
        <v>8896666956</v>
      </c>
      <c r="J35" s="96">
        <f>Ampera!J4</f>
        <v>8896666956</v>
      </c>
      <c r="K35" s="96">
        <f>Ampera!K4</f>
        <v>8896666956</v>
      </c>
      <c r="L35" s="96">
        <f>Ampera!L4</f>
        <v>8896666956</v>
      </c>
      <c r="M35" s="96">
        <f>Ampera!M4</f>
        <v>8896666956</v>
      </c>
      <c r="N35" s="23"/>
    </row>
    <row r="36" spans="2:14" ht="20" customHeight="1" x14ac:dyDescent="0.2">
      <c r="B36" s="1" t="s">
        <v>1</v>
      </c>
      <c r="C36" s="96">
        <v>2600000000</v>
      </c>
      <c r="D36" s="96">
        <v>2600000000</v>
      </c>
      <c r="E36" s="96">
        <v>2600000000</v>
      </c>
      <c r="F36" s="96">
        <v>2600000000</v>
      </c>
      <c r="G36" s="96">
        <v>2600000000</v>
      </c>
      <c r="H36" s="96">
        <v>2600000000</v>
      </c>
      <c r="I36" s="96">
        <v>2600000000</v>
      </c>
      <c r="J36" s="96">
        <v>2600000000</v>
      </c>
      <c r="K36" s="96">
        <v>2600000000</v>
      </c>
      <c r="L36" s="96">
        <v>2600000000</v>
      </c>
      <c r="M36" s="96">
        <v>2600000000</v>
      </c>
      <c r="N36" s="23"/>
    </row>
    <row r="37" spans="2:14" ht="20" customHeight="1" x14ac:dyDescent="0.2">
      <c r="B37" s="1" t="s">
        <v>82</v>
      </c>
      <c r="C37" s="96">
        <f>Dago!F4</f>
        <v>8000000000</v>
      </c>
      <c r="D37" s="96">
        <f>Dago!G4</f>
        <v>8000000000</v>
      </c>
      <c r="E37" s="96">
        <f>Dago!H4</f>
        <v>9000000000</v>
      </c>
      <c r="F37" s="96">
        <f>Dago!I4</f>
        <v>9000000000</v>
      </c>
      <c r="G37" s="96">
        <f>Dago!J4</f>
        <v>10000000000</v>
      </c>
      <c r="H37" s="96">
        <f>Dago!K4</f>
        <v>10000000000</v>
      </c>
      <c r="I37" s="96">
        <f>Dago!L4</f>
        <v>11000000000</v>
      </c>
      <c r="J37" s="96">
        <f>Dago!M4</f>
        <v>11000000000</v>
      </c>
      <c r="K37" s="96">
        <f>Dago!N4</f>
        <v>12000000000</v>
      </c>
      <c r="L37" s="96">
        <f>Dago!O4</f>
        <v>12000000000</v>
      </c>
      <c r="M37" s="96">
        <f>Dago!P4</f>
        <v>13000000000</v>
      </c>
      <c r="N37" s="23"/>
    </row>
    <row r="38" spans="2:14" ht="20" customHeight="1" thickBot="1" x14ac:dyDescent="0.25">
      <c r="B38" s="1" t="s">
        <v>20</v>
      </c>
      <c r="C38" s="97">
        <f>SUBTOTAL(109,Table211[2022])</f>
        <v>318693569080.66931</v>
      </c>
      <c r="D38" s="97">
        <f>SUBTOTAL(109,Table211[2023])</f>
        <v>323850216670.00977</v>
      </c>
      <c r="E38" s="97">
        <f>SUBTOTAL(109,Table211[2024])</f>
        <v>348376969727.00275</v>
      </c>
      <c r="F38" s="97">
        <f>SUBTOTAL(109,Table211[2025])</f>
        <v>349091160047.61304</v>
      </c>
      <c r="G38" s="97">
        <f>SUBTOTAL(109,Table211[2026])</f>
        <v>350336223853.19836</v>
      </c>
      <c r="H38" s="97">
        <f>SUBTOTAL(109,Table211[2027])</f>
        <v>348778872756.99811</v>
      </c>
      <c r="I38" s="97">
        <f>SUBTOTAL(109,Table211[2028])</f>
        <v>350357872667.92853</v>
      </c>
      <c r="J38" s="97">
        <f>SUBTOTAL(109,Table211[2029])</f>
        <v>351599263362.18365</v>
      </c>
      <c r="K38" s="97">
        <f>SUBTOTAL(109,Table211[2030])</f>
        <v>354691969911.83929</v>
      </c>
      <c r="L38" s="97">
        <f>SUBTOTAL(109,Table211[2031])</f>
        <v>355622872095.0578</v>
      </c>
      <c r="M38" s="97">
        <f>SUBTOTAL(109,Table211[2032])</f>
        <v>357222872095.0578</v>
      </c>
      <c r="N38" s="24"/>
    </row>
    <row r="39" spans="2:14" x14ac:dyDescent="0.2">
      <c r="C39" s="96"/>
      <c r="D39" s="96">
        <f>Table211[[#Totals],[2023]]/14750</f>
        <v>21955946.892882019</v>
      </c>
      <c r="E39" s="96">
        <f>Table211[[#Totals],[2024]]/14750</f>
        <v>23618777.608610354</v>
      </c>
      <c r="F39" s="96">
        <f>Table211[[#Totals],[2025]]/14750</f>
        <v>23667197.291363597</v>
      </c>
      <c r="G39" s="96">
        <f>Table211[[#Totals],[2026]]/14750</f>
        <v>23751608.396827009</v>
      </c>
      <c r="H39" s="96">
        <f>Table211[[#Totals],[2027]]/14750</f>
        <v>23646025.27166089</v>
      </c>
      <c r="I39" s="96">
        <f>Table211[[#Totals],[2028]]/14750</f>
        <v>23753076.113079902</v>
      </c>
      <c r="J39" s="96">
        <f>Table211[[#Totals],[2029]]/14750</f>
        <v>23837238.194046348</v>
      </c>
      <c r="K39" s="96">
        <f>Table211[[#Totals],[2030]]/14750</f>
        <v>24046913.214361984</v>
      </c>
      <c r="L39" s="96">
        <f>Table211[[#Totals],[2031]]/14750</f>
        <v>24110025.226783581</v>
      </c>
      <c r="M39" s="96">
        <f>Table211[[#Totals],[2032]]/14750</f>
        <v>24218499.803054765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N18"/>
  <sheetViews>
    <sheetView showGridLines="0" zoomScaleNormal="100" workbookViewId="0"/>
  </sheetViews>
  <sheetFormatPr baseColWidth="10" defaultRowHeight="16" x14ac:dyDescent="0.2"/>
  <cols>
    <col min="1" max="1" width="10.83203125" style="1"/>
    <col min="2" max="2" width="10.83203125" style="29"/>
    <col min="3" max="13" width="15.1640625" style="1" customWidth="1"/>
    <col min="14" max="16384" width="10.83203125" style="1"/>
  </cols>
  <sheetData>
    <row r="3" spans="2:1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4" s="6" customFormat="1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233231321164.88779</v>
      </c>
      <c r="I5" s="33">
        <v>233013231109.84375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53108425461.528358</v>
      </c>
      <c r="I6" s="33">
        <v>53469076758.198814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s="30" customFormat="1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286339746626.41614</v>
      </c>
      <c r="I7" s="35">
        <v>286482307868.04254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48983.682842773262</v>
      </c>
      <c r="D8" s="33">
        <v>51034.75524378995</v>
      </c>
      <c r="E8" s="33">
        <v>54796.683823958658</v>
      </c>
      <c r="F8" s="33">
        <v>54934.603823958656</v>
      </c>
      <c r="G8" s="33">
        <v>54936.853823958656</v>
      </c>
      <c r="H8" s="33">
        <v>56271.42715729199</v>
      </c>
      <c r="I8" s="33">
        <v>56224.032991632623</v>
      </c>
      <c r="J8" s="33">
        <v>56315.642991632631</v>
      </c>
      <c r="K8" s="33">
        <v>56315.642991632631</v>
      </c>
      <c r="L8" s="33">
        <v>56315.642991632631</v>
      </c>
      <c r="M8" s="33">
        <v>56315.642991632631</v>
      </c>
      <c r="N8" s="39"/>
    </row>
    <row r="9" spans="2:14" ht="21" customHeight="1" thickBot="1" x14ac:dyDescent="0.25">
      <c r="B9" s="29" t="s">
        <v>68</v>
      </c>
      <c r="C9" s="36">
        <v>0.80649534844370618</v>
      </c>
      <c r="D9" s="37">
        <v>0.84026537663964185</v>
      </c>
      <c r="E9" s="37">
        <v>0.90220391872154071</v>
      </c>
      <c r="F9" s="37">
        <v>0.9044747124226673</v>
      </c>
      <c r="G9" s="37">
        <v>0.90451175770853975</v>
      </c>
      <c r="H9" s="37">
        <v>0.92648493577571611</v>
      </c>
      <c r="I9" s="37">
        <v>0.92570461114658731</v>
      </c>
      <c r="J9" s="37">
        <v>0.92721293054160059</v>
      </c>
      <c r="K9" s="37">
        <v>0.92721293054160059</v>
      </c>
      <c r="L9" s="37">
        <v>0.92721293054160059</v>
      </c>
      <c r="M9" s="37">
        <v>0.92721293054160059</v>
      </c>
      <c r="N9" s="41"/>
    </row>
    <row r="10" spans="2:14" ht="21" customHeight="1" x14ac:dyDescent="0.2"/>
    <row r="11" spans="2:14" ht="21" customHeight="1" x14ac:dyDescent="0.2"/>
    <row r="12" spans="2:14" s="6" customFormat="1" ht="21" customHeight="1" x14ac:dyDescent="0.2">
      <c r="B12" s="29"/>
      <c r="C12" s="6">
        <v>0</v>
      </c>
      <c r="D12" s="6">
        <v>1</v>
      </c>
      <c r="E12" s="6">
        <v>2</v>
      </c>
      <c r="F12" s="6">
        <v>3</v>
      </c>
      <c r="G12" s="6">
        <v>4</v>
      </c>
      <c r="H12" s="6">
        <v>5</v>
      </c>
      <c r="I12" s="6">
        <v>6</v>
      </c>
      <c r="J12" s="6">
        <v>7</v>
      </c>
      <c r="K12" s="6">
        <v>8</v>
      </c>
      <c r="L12" s="6">
        <v>9</v>
      </c>
      <c r="M12" s="6">
        <v>10</v>
      </c>
    </row>
    <row r="13" spans="2:14" s="6" customFormat="1" ht="21" customHeight="1" thickBot="1" x14ac:dyDescent="0.25">
      <c r="B13" s="29" t="s">
        <v>64</v>
      </c>
      <c r="C13" s="31">
        <v>44926</v>
      </c>
      <c r="D13" s="31">
        <v>45291</v>
      </c>
      <c r="E13" s="31">
        <v>45657</v>
      </c>
      <c r="F13" s="31">
        <v>46022</v>
      </c>
      <c r="G13" s="31">
        <v>46387</v>
      </c>
      <c r="H13" s="31">
        <v>46752</v>
      </c>
      <c r="I13" s="31">
        <v>47118</v>
      </c>
      <c r="J13" s="31">
        <v>47483</v>
      </c>
      <c r="K13" s="31">
        <v>47848</v>
      </c>
      <c r="L13" s="31">
        <v>48213</v>
      </c>
      <c r="M13" s="31">
        <v>48579</v>
      </c>
    </row>
    <row r="14" spans="2:14" ht="21" customHeight="1" x14ac:dyDescent="0.2">
      <c r="B14" s="29" t="s">
        <v>65</v>
      </c>
      <c r="C14" s="98">
        <v>205309239968.79742</v>
      </c>
      <c r="D14" s="99">
        <v>203842487833.58954</v>
      </c>
      <c r="E14" s="99">
        <v>216638026103.52374</v>
      </c>
      <c r="F14" s="99">
        <v>215898175183.52374</v>
      </c>
      <c r="G14" s="99">
        <v>214590112343.52374</v>
      </c>
      <c r="H14" s="99">
        <v>209766672183.52374</v>
      </c>
      <c r="I14" s="99">
        <v>209114994623.52374</v>
      </c>
      <c r="J14" s="99">
        <v>209114994623.52374</v>
      </c>
      <c r="K14" s="99">
        <v>209114994623.52374</v>
      </c>
      <c r="L14" s="99">
        <v>209114994623.52374</v>
      </c>
      <c r="M14" s="99">
        <v>209114994623.52374</v>
      </c>
      <c r="N14" s="38"/>
    </row>
    <row r="15" spans="2:14" ht="21" customHeight="1" x14ac:dyDescent="0.2">
      <c r="B15" s="29" t="s">
        <v>66</v>
      </c>
      <c r="C15" s="98">
        <v>43246250751.929543</v>
      </c>
      <c r="D15" s="99">
        <v>43882638908.523056</v>
      </c>
      <c r="E15" s="99">
        <v>48089700506.106056</v>
      </c>
      <c r="F15" s="99">
        <v>48375486289.324608</v>
      </c>
      <c r="G15" s="99">
        <v>48255300289.324608</v>
      </c>
      <c r="H15" s="99">
        <v>48361611488.980263</v>
      </c>
      <c r="I15" s="99">
        <v>48565437022.198814</v>
      </c>
      <c r="J15" s="99">
        <v>48565437022.198814</v>
      </c>
      <c r="K15" s="99">
        <v>49558143571.854462</v>
      </c>
      <c r="L15" s="99">
        <v>49889045755.073013</v>
      </c>
      <c r="M15" s="99">
        <v>49889045755.073013</v>
      </c>
      <c r="N15" s="39"/>
    </row>
    <row r="16" spans="2:14" s="30" customFormat="1" ht="21" customHeight="1" x14ac:dyDescent="0.2">
      <c r="B16" s="29" t="s">
        <v>20</v>
      </c>
      <c r="C16" s="100">
        <v>248555490720.72696</v>
      </c>
      <c r="D16" s="101">
        <v>247725126742.11261</v>
      </c>
      <c r="E16" s="101">
        <v>264727726609.62979</v>
      </c>
      <c r="F16" s="101">
        <v>264273661472.84836</v>
      </c>
      <c r="G16" s="101">
        <v>262845412632.84836</v>
      </c>
      <c r="H16" s="101">
        <v>258128283672.504</v>
      </c>
      <c r="I16" s="101">
        <v>257680431645.72256</v>
      </c>
      <c r="J16" s="101">
        <v>257680431645.72256</v>
      </c>
      <c r="K16" s="101">
        <v>258673138195.3782</v>
      </c>
      <c r="L16" s="101">
        <v>259004040378.59674</v>
      </c>
      <c r="M16" s="101">
        <v>259004040378.59674</v>
      </c>
      <c r="N16" s="40"/>
    </row>
    <row r="17" spans="2:14" ht="21" customHeight="1" x14ac:dyDescent="0.2">
      <c r="B17" s="29" t="s">
        <v>67</v>
      </c>
      <c r="C17" s="98">
        <v>48908.34784277327</v>
      </c>
      <c r="D17" s="99">
        <v>49187.896077123289</v>
      </c>
      <c r="E17" s="99">
        <v>52467.582991632633</v>
      </c>
      <c r="F17" s="99">
        <v>52390.85299163263</v>
      </c>
      <c r="G17" s="99">
        <v>52256.562991632636</v>
      </c>
      <c r="H17" s="99">
        <v>51268.56632496597</v>
      </c>
      <c r="I17" s="99">
        <v>51125.732991632634</v>
      </c>
      <c r="J17" s="99">
        <v>51125.232991632634</v>
      </c>
      <c r="K17" s="99">
        <v>51125.232991632634</v>
      </c>
      <c r="L17" s="99">
        <v>51125.232991632634</v>
      </c>
      <c r="M17" s="99">
        <v>51125.232991632634</v>
      </c>
      <c r="N17" s="39"/>
    </row>
    <row r="18" spans="2:14" ht="21" customHeight="1" thickBot="1" x14ac:dyDescent="0.25">
      <c r="B18" s="29" t="s">
        <v>68</v>
      </c>
      <c r="C18" s="102">
        <v>0.80525498994983757</v>
      </c>
      <c r="D18" s="103">
        <v>0.80985763184168136</v>
      </c>
      <c r="E18" s="103">
        <v>0.86385627153958866</v>
      </c>
      <c r="F18" s="103">
        <v>0.86259294496847894</v>
      </c>
      <c r="G18" s="103">
        <v>0.86038191766189331</v>
      </c>
      <c r="H18" s="103">
        <v>0.84411497590289675</v>
      </c>
      <c r="I18" s="103">
        <v>0.84176328627380548</v>
      </c>
      <c r="J18" s="103">
        <v>0.84175505398805606</v>
      </c>
      <c r="K18" s="103">
        <v>0.84175505398805606</v>
      </c>
      <c r="L18" s="103">
        <v>0.84175505398805606</v>
      </c>
      <c r="M18" s="103">
        <v>0.84175505398805606</v>
      </c>
      <c r="N18" s="41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Office'!C14:M14</xm:f>
              <xm:sqref>N14</xm:sqref>
            </x14:sparkline>
            <x14:sparkline>
              <xm:f>'TE Office'!C15:M15</xm:f>
              <xm:sqref>N15</xm:sqref>
            </x14:sparkline>
            <x14:sparkline>
              <xm:f>'TE Office'!C16:M16</xm:f>
              <xm:sqref>N16</xm:sqref>
            </x14:sparkline>
            <x14:sparkline>
              <xm:f>'TE Office'!C17:M17</xm:f>
              <xm:sqref>N17</xm:sqref>
            </x14:sparkline>
            <x14:sparkline>
              <xm:f>'TE Office'!C18:M18</xm:f>
              <xm:sqref>N18</xm:sqref>
            </x14:sparkline>
          </x14:sparklines>
        </x14:sparklineGroup>
        <x14:sparklineGroup displayEmptyCellsAs="gap" xr2:uid="{F5ADDBC2-ACC9-B94C-98B6-A764A5F6C6A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Office'!C5:M5</xm:f>
              <xm:sqref>N5</xm:sqref>
            </x14:sparkline>
            <x14:sparkline>
              <xm:f>'TE Office'!C6:M6</xm:f>
              <xm:sqref>N6</xm:sqref>
            </x14:sparkline>
            <x14:sparkline>
              <xm:f>'TE Office'!C7:M7</xm:f>
              <xm:sqref>N7</xm:sqref>
            </x14:sparkline>
            <x14:sparkline>
              <xm:f>'TE Office'!C8:M8</xm:f>
              <xm:sqref>N8</xm:sqref>
            </x14:sparkline>
            <x14:sparkline>
              <xm:f>'TE Office'!C9:M9</xm:f>
              <xm:sqref>N9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2"/>
  <sheetViews>
    <sheetView showGridLines="0" zoomScaleNormal="100" workbookViewId="0"/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 t="shared" ref="C4:E4" si="0">$C$10</f>
        <v>8071906956</v>
      </c>
      <c r="D4" s="8">
        <f t="shared" si="0"/>
        <v>8071906956</v>
      </c>
      <c r="E4" s="8">
        <f t="shared" si="0"/>
        <v>8071906956</v>
      </c>
      <c r="F4" s="8">
        <f>$C$10</f>
        <v>8071906956</v>
      </c>
      <c r="G4" s="8">
        <f>$C$14</f>
        <v>8896666956</v>
      </c>
      <c r="H4" s="8">
        <f t="shared" ref="H4:P4" si="1">$C$14</f>
        <v>8896666956</v>
      </c>
      <c r="I4" s="8">
        <f t="shared" si="1"/>
        <v>8896666956</v>
      </c>
      <c r="J4" s="8">
        <f t="shared" si="1"/>
        <v>8896666956</v>
      </c>
      <c r="K4" s="8">
        <f t="shared" si="1"/>
        <v>8896666956</v>
      </c>
      <c r="L4" s="8">
        <f t="shared" si="1"/>
        <v>8896666956</v>
      </c>
      <c r="M4" s="8">
        <f t="shared" si="1"/>
        <v>8896666956</v>
      </c>
      <c r="N4" s="8">
        <f t="shared" si="1"/>
        <v>8896666956</v>
      </c>
      <c r="O4" s="8">
        <f t="shared" si="1"/>
        <v>8896666956</v>
      </c>
      <c r="P4" s="8">
        <f t="shared" si="1"/>
        <v>8896666956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824760000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2:17" x14ac:dyDescent="0.2">
      <c r="B8" s="47">
        <v>2022</v>
      </c>
    </row>
    <row r="9" spans="2:17" x14ac:dyDescent="0.2">
      <c r="B9" s="42" t="s">
        <v>77</v>
      </c>
      <c r="C9" s="8">
        <v>672658913</v>
      </c>
    </row>
    <row r="10" spans="2:17" x14ac:dyDescent="0.2">
      <c r="B10" s="42" t="s">
        <v>62</v>
      </c>
      <c r="C10" s="8">
        <f>C9*12</f>
        <v>8071906956</v>
      </c>
    </row>
    <row r="12" spans="2:17" x14ac:dyDescent="0.2">
      <c r="B12" s="53" t="s">
        <v>61</v>
      </c>
    </row>
    <row r="13" spans="2:17" x14ac:dyDescent="0.2">
      <c r="B13" s="42" t="s">
        <v>78</v>
      </c>
      <c r="C13" s="8">
        <v>741388913</v>
      </c>
    </row>
    <row r="14" spans="2:17" x14ac:dyDescent="0.2">
      <c r="B14" s="42" t="s">
        <v>60</v>
      </c>
      <c r="C14" s="9">
        <f>C13*12</f>
        <v>8896666956</v>
      </c>
    </row>
    <row r="25" ht="15" customHeight="1" x14ac:dyDescent="0.2"/>
    <row r="26" ht="15" customHeight="1" x14ac:dyDescent="0.2"/>
    <row r="27" ht="20.25" customHeight="1" x14ac:dyDescent="0.2"/>
    <row r="28" ht="20.2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5" ht="15" customHeight="1" x14ac:dyDescent="0.2"/>
    <row r="36" ht="15" customHeight="1" x14ac:dyDescent="0.2"/>
    <row r="37" ht="20.25" customHeight="1" x14ac:dyDescent="0.2"/>
    <row r="38" ht="20.25" customHeight="1" x14ac:dyDescent="0.2"/>
    <row r="39" ht="20.25" customHeight="1" x14ac:dyDescent="0.2"/>
    <row r="40" ht="20.25" customHeight="1" x14ac:dyDescent="0.2"/>
    <row r="41" ht="20.25" customHeight="1" x14ac:dyDescent="0.2"/>
    <row r="42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Normal="100" workbookViewId="0"/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5000000000</v>
      </c>
      <c r="I4" s="8">
        <f>Table36712[[#This Row],[2024]]+I5</f>
        <v>5500000000</v>
      </c>
      <c r="J4" s="8">
        <f>Table36712[[#This Row],[2025]]+J5</f>
        <v>6000000000</v>
      </c>
      <c r="K4" s="8">
        <f>Table36712[[#This Row],[2026]]+K5</f>
        <v>6500000000</v>
      </c>
      <c r="L4" s="8">
        <f>Table36712[[#This Row],[2027]]+L5</f>
        <v>7000000000</v>
      </c>
      <c r="M4" s="8">
        <f>Table36712[[#This Row],[2028]]+M5</f>
        <v>7500000000</v>
      </c>
      <c r="N4" s="8">
        <f>Table36712[[#This Row],[2029]]+N5</f>
        <v>8000000000</v>
      </c>
      <c r="O4" s="8">
        <f>Table36712[[#This Row],[2030]]+O5</f>
        <v>8000000000</v>
      </c>
      <c r="P4" s="8">
        <f>Table36712[[#This Row],[2031]]+P5</f>
        <v>8000000000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500000000</v>
      </c>
      <c r="I5" s="46">
        <v>500000000</v>
      </c>
      <c r="J5" s="46">
        <v>500000000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zoomScaleNormal="100" workbookViewId="0"/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82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8000000000</v>
      </c>
      <c r="H4" s="8">
        <f>Table36710[[#This Row],[2023]]+H5</f>
        <v>9000000000</v>
      </c>
      <c r="I4" s="8">
        <f>Table36710[[#This Row],[2024]]+I5</f>
        <v>9000000000</v>
      </c>
      <c r="J4" s="8">
        <f>Table36710[[#This Row],[2025]]+J5</f>
        <v>10000000000</v>
      </c>
      <c r="K4" s="8">
        <f>Table36710[[#This Row],[2026]]+K5</f>
        <v>10000000000</v>
      </c>
      <c r="L4" s="8">
        <f>Table36710[[#This Row],[2027]]+L5</f>
        <v>11000000000</v>
      </c>
      <c r="M4" s="8">
        <f>Table36710[[#This Row],[2028]]+M5</f>
        <v>11000000000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13000000000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0</v>
      </c>
      <c r="J5" s="46">
        <v>1000000000</v>
      </c>
      <c r="K5" s="46">
        <v>0</v>
      </c>
      <c r="L5" s="46">
        <v>1000000000</v>
      </c>
      <c r="M5" s="46">
        <v>0</v>
      </c>
      <c r="N5" s="46">
        <v>1000000000</v>
      </c>
      <c r="O5" s="46">
        <v>0</v>
      </c>
      <c r="P5" s="46">
        <v>1000000000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E5 D4:E4 M5 K5 F4:P4 F5:G5 H5:J5 L5 N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Normal="100" workbookViewId="0"/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0.80649534844370618</v>
      </c>
      <c r="G2" s="62">
        <f>Summary!$D$3</f>
        <v>0.84026537663964185</v>
      </c>
      <c r="H2" s="63">
        <f>Summary!$E$3</f>
        <v>0.90220391872154071</v>
      </c>
      <c r="I2" s="63">
        <f>Summary!$F$3</f>
        <v>0.9044747124226673</v>
      </c>
      <c r="J2" s="63">
        <f>Summary!$G$3</f>
        <v>0.90451175770853975</v>
      </c>
      <c r="K2" s="63">
        <f>Summary!$H$3</f>
        <v>0.92648493577571611</v>
      </c>
      <c r="L2" s="63">
        <f>Summary!$I$3</f>
        <v>0.92570461114658731</v>
      </c>
      <c r="M2" s="63">
        <f>Summary!$J$3</f>
        <v>0.92721293054160059</v>
      </c>
      <c r="N2" s="63">
        <f>Summary!$K$3</f>
        <v>0.92721293054160059</v>
      </c>
      <c r="O2" s="63">
        <f>Summary!$L$3</f>
        <v>0.92721293054160059</v>
      </c>
      <c r="P2" s="63">
        <f>Summary!$M$3</f>
        <v>0.92721293054160059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89" t="s">
        <v>22</v>
      </c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v>16399663023.428572</v>
      </c>
      <c r="H4" s="67">
        <f>Table36[[#This Row],[2023]]+(H2-G2)*100*$H$9</f>
        <v>19689295616.715302</v>
      </c>
      <c r="I4" s="67">
        <f>Table36[[#This Row],[2024]]+(I2-H2)*100*$H$9</f>
        <v>19809900279.349739</v>
      </c>
      <c r="J4" s="67">
        <f>Table36[[#This Row],[2025]]+(J2-I2)*100*$H$9</f>
        <v>19811867800.310638</v>
      </c>
      <c r="K4" s="67">
        <f>Table36[[#This Row],[2026]]+(K2-J2)*100*$H$9</f>
        <v>20978890470.174236</v>
      </c>
      <c r="L4" s="67">
        <f>Table36[[#This Row],[2027]]+(L2-K2)*100*$H$9</f>
        <v>20937446463.792358</v>
      </c>
      <c r="M4" s="67">
        <f>Table36[[#This Row],[2028]]+(M2-L2)*100*$H$9</f>
        <v>21017555172.782658</v>
      </c>
      <c r="N4" s="67">
        <f>Table36[[#This Row],[2029]]+(N2-M2)*100*$H$9</f>
        <v>21017555172.782658</v>
      </c>
      <c r="O4" s="67">
        <f>Table36[[#This Row],[2030]]+(O2-N2)*100*$H$9</f>
        <v>21017555172.782658</v>
      </c>
      <c r="P4" s="67">
        <f>Table36[[#This Row],[2031]]+(P2-O2)*100*$H$9</f>
        <v>21017555172.782658</v>
      </c>
      <c r="Q4" s="79"/>
      <c r="W4" s="45"/>
      <c r="X4" s="91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93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9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1248114071.5262394</v>
      </c>
      <c r="H9" s="76">
        <f>G9/(G8*100)</f>
        <v>531112370.86222953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89" t="s">
        <v>41</v>
      </c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45"/>
    </row>
    <row r="14" spans="2:38" x14ac:dyDescent="0.2">
      <c r="F14" s="77" t="s">
        <v>73</v>
      </c>
      <c r="G14" s="78" t="s">
        <v>74</v>
      </c>
      <c r="W14" s="45"/>
      <c r="X14" s="91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45"/>
    </row>
    <row r="15" spans="2:38" x14ac:dyDescent="0.2">
      <c r="W15" s="45"/>
      <c r="X15" s="93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9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85" t="s">
        <v>42</v>
      </c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56"/>
    </row>
    <row r="24" spans="23:38" ht="15" customHeight="1" x14ac:dyDescent="0.2">
      <c r="X24" s="87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56"/>
    </row>
    <row r="25" spans="23:38" ht="20.25" customHeight="1" x14ac:dyDescent="0.2">
      <c r="X25" s="83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84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85" t="s">
        <v>43</v>
      </c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56"/>
    </row>
    <row r="34" spans="24:38" ht="15" customHeight="1" x14ac:dyDescent="0.2">
      <c r="X34" s="87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56"/>
    </row>
    <row r="35" spans="24:38" ht="20.25" customHeight="1" x14ac:dyDescent="0.2">
      <c r="X35" s="83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84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workbookViewId="0"/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4"/>
  <sheetViews>
    <sheetView showGridLines="0" workbookViewId="0"/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0.80649534844370618</v>
      </c>
      <c r="G2" s="43">
        <f>Summary!$D$3</f>
        <v>0.84026537663964185</v>
      </c>
      <c r="H2" s="62">
        <f>Summary!$E$3</f>
        <v>0.90220391872154071</v>
      </c>
      <c r="I2" s="63">
        <f>Summary!$F$3</f>
        <v>0.9044747124226673</v>
      </c>
      <c r="J2" s="63">
        <f>Summary!$G$3</f>
        <v>0.90451175770853975</v>
      </c>
      <c r="K2" s="63">
        <f>Summary!$H$3</f>
        <v>0.92648493577571611</v>
      </c>
      <c r="L2" s="63">
        <f>Summary!$I$3</f>
        <v>0.92570461114658731</v>
      </c>
      <c r="M2" s="63">
        <f>Summary!$J$3</f>
        <v>0.92721293054160059</v>
      </c>
      <c r="N2" s="63">
        <f>Summary!$K$3</f>
        <v>0.92721293054160059</v>
      </c>
      <c r="O2" s="63">
        <f>Summary!$L$3</f>
        <v>0.92721293054160059</v>
      </c>
      <c r="P2" s="63">
        <f>Summary!$M$3</f>
        <v>0.92721293054160059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9645327521.1890831</v>
      </c>
      <c r="I8" s="82">
        <f>Table4[[#Totals],[2024]]+(I2-H2)*100*$I$11</f>
        <v>9737588315.9463348</v>
      </c>
      <c r="J8" s="82">
        <f>Table4[[#Totals],[2025]]+(J2-I2)*100*$I$11</f>
        <v>9739093440.5707798</v>
      </c>
      <c r="K8" s="82">
        <f>Table4[[#Totals],[2026]]+(K2-J2)*100*$I$11</f>
        <v>10631848634.851328</v>
      </c>
      <c r="L8" s="82">
        <f>Table4[[#Totals],[2027]]+(L2-K2)*100*$I$11</f>
        <v>10600144578.945076</v>
      </c>
      <c r="M8" s="82">
        <f>Table4[[#Totals],[2028]]+(M2-L2)*100*$I$11</f>
        <v>10661426564.209816</v>
      </c>
      <c r="N8" s="82">
        <f>Table4[[#Totals],[2029]]+(N2-M2)*100*$I$11</f>
        <v>10661426564.209816</v>
      </c>
      <c r="O8" s="82">
        <f>Table4[[#Totals],[2030]]+(O2-N2)*100*$I$11</f>
        <v>10661426564.209816</v>
      </c>
      <c r="P8" s="82">
        <f>Table4[[#Totals],[2031]]+(P2-O2)*100*$I$11</f>
        <v>10661426564.209816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TE Office</vt:lpstr>
      <vt:lpstr>Ampera</vt:lpstr>
      <vt:lpstr>SH</vt:lpstr>
      <vt:lpstr>Dago</vt:lpstr>
      <vt:lpstr>Listrik</vt:lpstr>
      <vt:lpstr>IT</vt:lpstr>
      <vt:lpstr>Parkir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2022-09-29T10:39:50Z</cp:lastPrinted>
  <dcterms:created xsi:type="dcterms:W3CDTF">2022-09-06T10:21:49Z</dcterms:created>
  <dcterms:modified xsi:type="dcterms:W3CDTF">2022-09-30T09:01:58Z</dcterms:modified>
</cp:coreProperties>
</file>