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an/Development/office/revenue-streamlit/"/>
    </mc:Choice>
  </mc:AlternateContent>
  <xr:revisionPtr revIDLastSave="0" documentId="13_ncr:1_{18F7369D-1673-3E4F-94EE-D5DF4007A03F}" xr6:coauthVersionLast="47" xr6:coauthVersionMax="47" xr10:uidLastSave="{00000000-0000-0000-0000-000000000000}"/>
  <bookViews>
    <workbookView xWindow="-22660" yWindow="9000" windowWidth="22660" windowHeight="14380" xr2:uid="{9DA9C85C-0230-484A-A9A5-3ABA148F8E1D}"/>
  </bookViews>
  <sheets>
    <sheet name="Summary" sheetId="1" r:id="rId1"/>
    <sheet name="TE Office" sheetId="7" r:id="rId2"/>
    <sheet name="IN OUT" sheetId="8" r:id="rId3"/>
    <sheet name="Ampera" sheetId="6" r:id="rId4"/>
    <sheet name="SH" sheetId="10" r:id="rId5"/>
    <sheet name="Dago" sheetId="9" r:id="rId6"/>
    <sheet name="Listrik" sheetId="2" r:id="rId7"/>
    <sheet name="IT" sheetId="3" r:id="rId8"/>
    <sheet name="Parkir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9" i="1" l="1"/>
  <c r="F39" i="1"/>
  <c r="G39" i="1"/>
  <c r="H39" i="1"/>
  <c r="I39" i="1"/>
  <c r="J39" i="1"/>
  <c r="K39" i="1"/>
  <c r="L39" i="1"/>
  <c r="M39" i="1"/>
  <c r="D39" i="1"/>
  <c r="M24" i="1"/>
  <c r="F24" i="1"/>
  <c r="G24" i="1"/>
  <c r="H24" i="1"/>
  <c r="I24" i="1"/>
  <c r="J24" i="1"/>
  <c r="K24" i="1"/>
  <c r="L24" i="1"/>
  <c r="E24" i="1"/>
  <c r="D24" i="1"/>
  <c r="H9" i="10" l="1"/>
  <c r="I9" i="10" s="1"/>
  <c r="F9" i="10"/>
  <c r="C33" i="1" s="1"/>
  <c r="H4" i="10"/>
  <c r="I4" i="10" s="1"/>
  <c r="J4" i="10" s="1"/>
  <c r="F4" i="10"/>
  <c r="D33" i="1"/>
  <c r="E33" i="1"/>
  <c r="D18" i="1"/>
  <c r="E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J9" i="10" l="1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M31" i="1"/>
  <c r="L31" i="1"/>
  <c r="K31" i="1"/>
  <c r="J31" i="1"/>
  <c r="I31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M10" i="3" s="1"/>
  <c r="N10" i="3" s="1"/>
  <c r="O10" i="3" s="1"/>
  <c r="P10" i="3" s="1"/>
  <c r="K10" i="3"/>
  <c r="H12" i="3"/>
  <c r="I12" i="3"/>
  <c r="J12" i="3"/>
  <c r="G12" i="3"/>
  <c r="H9" i="2"/>
  <c r="G9" i="2" a="1"/>
  <c r="G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K33" i="1" l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K16" i="1"/>
  <c r="L16" i="1"/>
  <c r="M16" i="1"/>
  <c r="C16" i="1"/>
  <c r="F10" i="3"/>
  <c r="C10" i="6"/>
  <c r="F4" i="6" s="1"/>
  <c r="C14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L33" i="1" l="1"/>
  <c r="P9" i="10"/>
  <c r="M33" i="1" s="1"/>
  <c r="P4" i="10"/>
  <c r="M18" i="1" s="1"/>
  <c r="L18" i="1"/>
  <c r="I35" i="1"/>
  <c r="I20" i="1"/>
  <c r="E4" i="6"/>
  <c r="F35" i="1"/>
  <c r="F20" i="1"/>
  <c r="D4" i="6"/>
  <c r="C4" i="6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M35" i="1" l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F17" i="1" l="1"/>
  <c r="J8" i="4"/>
  <c r="G32" i="1" s="1"/>
  <c r="J4" i="2"/>
  <c r="G30" i="1" s="1" a="1"/>
  <c r="G30" i="1" s="1"/>
  <c r="F15" i="1" a="1"/>
  <c r="F15" i="1" s="1"/>
  <c r="K8" i="4"/>
  <c r="H32" i="1" s="1"/>
  <c r="K4" i="2" l="1"/>
  <c r="H30" i="1" s="1" a="1"/>
  <c r="H30" i="1" s="1"/>
  <c r="G17" i="1"/>
  <c r="G15" i="1" a="1"/>
  <c r="G15" i="1" s="1"/>
  <c r="H15" i="1" a="1"/>
  <c r="H15" i="1" s="1"/>
  <c r="L8" i="4"/>
  <c r="I32" i="1" s="1"/>
  <c r="H17" i="1"/>
  <c r="L4" i="2" l="1"/>
  <c r="I30" i="1" s="1" a="1"/>
  <c r="I30" i="1" s="1"/>
  <c r="M8" i="4"/>
  <c r="J32" i="1" s="1"/>
  <c r="I17" i="1"/>
  <c r="I15" i="1" l="1" a="1"/>
  <c r="I15" i="1" s="1"/>
  <c r="M4" i="2"/>
  <c r="J30" i="1" s="1" a="1"/>
  <c r="J30" i="1" s="1"/>
  <c r="N8" i="4"/>
  <c r="K32" i="1" s="1"/>
  <c r="J17" i="1"/>
  <c r="N4" i="2" l="1"/>
  <c r="K30" i="1" s="1" a="1"/>
  <c r="K30" i="1" s="1"/>
  <c r="J15" i="1" a="1"/>
  <c r="J15" i="1" s="1"/>
  <c r="O8" i="4"/>
  <c r="L32" i="1" s="1"/>
  <c r="K17" i="1"/>
  <c r="K15" i="1" l="1" a="1"/>
  <c r="K15" i="1" s="1"/>
  <c r="O4" i="2"/>
  <c r="L30" i="1" s="1" a="1"/>
  <c r="L30" i="1" s="1"/>
  <c r="P4" i="2"/>
  <c r="L15" i="1" a="1"/>
  <c r="L15" i="1" s="1"/>
  <c r="P8" i="4"/>
  <c r="L17" i="1"/>
  <c r="M17" i="1" l="1"/>
  <c r="M32" i="1"/>
  <c r="M15" i="1" a="1"/>
  <c r="M15" i="1" s="1"/>
  <c r="M30" i="1" a="1"/>
  <c r="M30" i="1" s="1"/>
  <c r="G4" i="9"/>
  <c r="H4" i="9" l="1"/>
  <c r="D37" i="1"/>
  <c r="D38" i="1" s="1"/>
  <c r="D22" i="1"/>
  <c r="D23" i="1" s="1"/>
  <c r="I4" i="9" l="1"/>
  <c r="E22" i="1"/>
  <c r="E23" i="1" s="1"/>
  <c r="E37" i="1"/>
  <c r="E38" i="1" s="1"/>
  <c r="J4" i="9" l="1"/>
  <c r="F37" i="1"/>
  <c r="F38" i="1" s="1"/>
  <c r="F22" i="1"/>
  <c r="F23" i="1" s="1"/>
  <c r="K4" i="9" l="1"/>
  <c r="G37" i="1"/>
  <c r="G38" i="1" s="1"/>
  <c r="G22" i="1"/>
  <c r="G23" i="1" s="1"/>
  <c r="L4" i="9" l="1"/>
  <c r="H22" i="1"/>
  <c r="H23" i="1" s="1"/>
  <c r="H37" i="1"/>
  <c r="H38" i="1" s="1"/>
  <c r="M4" i="9" l="1"/>
  <c r="I37" i="1"/>
  <c r="I38" i="1" s="1"/>
  <c r="I22" i="1"/>
  <c r="I23" i="1" s="1"/>
  <c r="N4" i="9" l="1"/>
  <c r="J37" i="1"/>
  <c r="J38" i="1" s="1"/>
  <c r="J22" i="1"/>
  <c r="J23" i="1" s="1"/>
  <c r="O4" i="9" l="1"/>
  <c r="K37" i="1"/>
  <c r="K38" i="1" s="1"/>
  <c r="K22" i="1"/>
  <c r="K23" i="1" s="1"/>
  <c r="P4" i="9" l="1"/>
  <c r="L37" i="1"/>
  <c r="L38" i="1" s="1"/>
  <c r="L22" i="1"/>
  <c r="L23" i="1" s="1"/>
  <c r="M37" i="1" l="1"/>
  <c r="M38" i="1" s="1"/>
  <c r="M22" i="1"/>
  <c r="M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<sst xmlns="http://schemas.openxmlformats.org/spreadsheetml/2006/main" count="373" uniqueCount="114">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</sst>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11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287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319090058680.66931</c:v>
                </c:pt>
                <c:pt idx="1">
                  <c:v>333726974278.32971</c:v>
                </c:pt>
                <c:pt idx="2">
                  <c:v>361287978320.97528</c:v>
                </c:pt>
                <c:pt idx="3">
                  <c:v>363484014434.07043</c:v>
                </c:pt>
                <c:pt idx="4">
                  <c:v>365726754079.65582</c:v>
                </c:pt>
                <c:pt idx="5">
                  <c:v>377740335710.91028</c:v>
                </c:pt>
                <c:pt idx="6">
                  <c:v>379909748890.24854</c:v>
                </c:pt>
                <c:pt idx="7">
                  <c:v>381679773184.5036</c:v>
                </c:pt>
                <c:pt idx="8">
                  <c:v>384987707084.1593</c:v>
                </c:pt>
                <c:pt idx="9">
                  <c:v>385990351717.37781</c:v>
                </c:pt>
                <c:pt idx="10">
                  <c:v>387590351717.37781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318693569080.66931</c:v>
                </c:pt>
                <c:pt idx="1">
                  <c:v>323850216670.00977</c:v>
                </c:pt>
                <c:pt idx="2">
                  <c:v>348376969727.00275</c:v>
                </c:pt>
                <c:pt idx="3">
                  <c:v>349091160047.61304</c:v>
                </c:pt>
                <c:pt idx="4">
                  <c:v>350336223853.19836</c:v>
                </c:pt>
                <c:pt idx="5">
                  <c:v>348778872756.99811</c:v>
                </c:pt>
                <c:pt idx="6">
                  <c:v>350357872667.92853</c:v>
                </c:pt>
                <c:pt idx="7">
                  <c:v>351599263362.18365</c:v>
                </c:pt>
                <c:pt idx="8">
                  <c:v>354691969911.83929</c:v>
                </c:pt>
                <c:pt idx="9">
                  <c:v>355622872095.0578</c:v>
                </c:pt>
                <c:pt idx="10">
                  <c:v>357222872095.0578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0.80649534844370618</c:v>
                </c:pt>
                <c:pt idx="1">
                  <c:v>0.84026537663964185</c:v>
                </c:pt>
                <c:pt idx="2">
                  <c:v>0.90220391872154071</c:v>
                </c:pt>
                <c:pt idx="3">
                  <c:v>0.9044747124226673</c:v>
                </c:pt>
                <c:pt idx="4">
                  <c:v>0.90451175770853975</c:v>
                </c:pt>
                <c:pt idx="5">
                  <c:v>0.92648493577571611</c:v>
                </c:pt>
                <c:pt idx="6">
                  <c:v>0.92570461114658731</c:v>
                </c:pt>
                <c:pt idx="7">
                  <c:v>0.92721293054160059</c:v>
                </c:pt>
                <c:pt idx="8">
                  <c:v>0.92721293054160059</c:v>
                </c:pt>
                <c:pt idx="9">
                  <c:v>0.92721293054160059</c:v>
                </c:pt>
                <c:pt idx="10">
                  <c:v>0.92721293054160059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0.80525498994983757</c:v>
                </c:pt>
                <c:pt idx="1">
                  <c:v>0.80985763184168136</c:v>
                </c:pt>
                <c:pt idx="2">
                  <c:v>0.86385627153958866</c:v>
                </c:pt>
                <c:pt idx="3">
                  <c:v>0.86259294496847894</c:v>
                </c:pt>
                <c:pt idx="4">
                  <c:v>0.86038191766189331</c:v>
                </c:pt>
                <c:pt idx="5">
                  <c:v>0.84411497590289675</c:v>
                </c:pt>
                <c:pt idx="6">
                  <c:v>0.84176328627380548</c:v>
                </c:pt>
                <c:pt idx="7">
                  <c:v>0.84175505398805606</c:v>
                </c:pt>
                <c:pt idx="8">
                  <c:v>0.84175505398805606</c:v>
                </c:pt>
                <c:pt idx="9">
                  <c:v>0.84175505398805606</c:v>
                </c:pt>
                <c:pt idx="10">
                  <c:v>0.84175505398805606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248951980320.72696</c:v>
                </c:pt>
                <c:pt idx="1">
                  <c:v>257601884350.43256</c:v>
                </c:pt>
                <c:pt idx="2">
                  <c:v>277388735203.60236</c:v>
                </c:pt>
                <c:pt idx="3">
                  <c:v>278166515859.30579</c:v>
                </c:pt>
                <c:pt idx="4">
                  <c:v>277485942859.30579</c:v>
                </c:pt>
                <c:pt idx="5">
                  <c:v>286339746626.41614</c:v>
                </c:pt>
                <c:pt idx="6">
                  <c:v>286482307868.04254</c:v>
                </c:pt>
                <c:pt idx="7">
                  <c:v>287010941468.04254</c:v>
                </c:pt>
                <c:pt idx="8">
                  <c:v>288218875367.69824</c:v>
                </c:pt>
                <c:pt idx="9">
                  <c:v>288621520000.91675</c:v>
                </c:pt>
                <c:pt idx="10">
                  <c:v>288621520000.91675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247725126742.11261</c:v>
                </c:pt>
                <c:pt idx="2">
                  <c:v>264727726609.62979</c:v>
                </c:pt>
                <c:pt idx="3">
                  <c:v>264273661472.84836</c:v>
                </c:pt>
                <c:pt idx="4">
                  <c:v>262845412632.84836</c:v>
                </c:pt>
                <c:pt idx="5">
                  <c:v>258128283672.504</c:v>
                </c:pt>
                <c:pt idx="6">
                  <c:v>257680431645.72256</c:v>
                </c:pt>
                <c:pt idx="7">
                  <c:v>257680431645.72256</c:v>
                </c:pt>
                <c:pt idx="8">
                  <c:v>258673138195.3782</c:v>
                </c:pt>
                <c:pt idx="9">
                  <c:v>259004040378.59674</c:v>
                </c:pt>
                <c:pt idx="10">
                  <c:v>259004040378.59674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17095" y="124829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6" dataDxfId="285" totalsRowDxfId="284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3" totalsRowDxfId="282"/>
    <tableColumn id="12" xr3:uid="{85475C21-3329-2B45-8444-CA94C08A4946}" name="2022" totalsRowFunction="sum" dataDxfId="281" totalsRowDxfId="280" dataCellStyle="Comma"/>
    <tableColumn id="2" xr3:uid="{39720F4C-EDD5-7B48-9B96-FD9488CF7B6F}" name="2023" totalsRowFunction="sum" dataDxfId="279" totalsRowDxfId="278" dataCellStyle="Comma"/>
    <tableColumn id="3" xr3:uid="{0994F7B4-B62D-534F-9417-0249F38ADE67}" name="2024" totalsRowFunction="sum" dataDxfId="277" totalsRowDxfId="276" dataCellStyle="Comma"/>
    <tableColumn id="4" xr3:uid="{BF5E00BE-9F6A-514F-89E9-FCB3BA9FBE7E}" name="2025" totalsRowFunction="sum" dataDxfId="275" totalsRowDxfId="274" dataCellStyle="Comma"/>
    <tableColumn id="5" xr3:uid="{558C3BB7-E01B-4041-A52C-470E15F68511}" name="2026" totalsRowFunction="sum" dataDxfId="273" totalsRowDxfId="272" dataCellStyle="Comma"/>
    <tableColumn id="6" xr3:uid="{F85D5229-9BC7-6441-95EE-D5D053C638B7}" name="2027" totalsRowFunction="sum" dataDxfId="271" totalsRowDxfId="270" dataCellStyle="Comma"/>
    <tableColumn id="7" xr3:uid="{0358E158-5480-1945-AEC6-9C9BE0041972}" name="2028" totalsRowFunction="sum" dataDxfId="269" totalsRowDxfId="268" dataCellStyle="Comma"/>
    <tableColumn id="8" xr3:uid="{AD2569E3-CD58-DB43-9407-E9740AD84292}" name="2029" totalsRowFunction="sum" dataDxfId="267" totalsRowDxfId="266" dataCellStyle="Comma"/>
    <tableColumn id="9" xr3:uid="{7561F271-4CC3-5147-8982-B20E91E439A9}" name="2030" totalsRowFunction="sum" dataDxfId="265" totalsRowDxfId="264" dataCellStyle="Comma"/>
    <tableColumn id="10" xr3:uid="{BECB626F-1389-A74E-BD36-D45CF00BA3A5}" name="2031" totalsRowFunction="sum" dataDxfId="263" totalsRowDxfId="262" dataCellStyle="Comma"/>
    <tableColumn id="11" xr3:uid="{B473C967-9544-AA40-854E-CE88ACD5AB6C}" name="2032" totalsRowFunction="sum" dataDxfId="261" totalsRowDxfId="260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9" tableBorderDxfId="258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7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6" dataDxfId="255" totalsRowDxfId="254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3" totalsRowDxfId="252"/>
    <tableColumn id="12" xr3:uid="{D2689BC0-FE51-1C4F-BEFD-AB4DACE89943}" name="2022" totalsRowFunction="sum" dataDxfId="251" totalsRowDxfId="250" dataCellStyle="Comma"/>
    <tableColumn id="2" xr3:uid="{6A567BA1-6DE6-8348-8535-A146D583581C}" name="2023" totalsRowFunction="sum" dataDxfId="249" totalsRowDxfId="248" dataCellStyle="Comma"/>
    <tableColumn id="3" xr3:uid="{40543FAE-4431-7141-91FF-6CA497E19814}" name="2024" totalsRowFunction="sum" dataDxfId="247" totalsRowDxfId="246" dataCellStyle="Comma"/>
    <tableColumn id="4" xr3:uid="{5F9F5E8A-DEB0-1240-8A75-FA8B64F35675}" name="2025" totalsRowFunction="sum" dataDxfId="245" totalsRowDxfId="244" dataCellStyle="Comma"/>
    <tableColumn id="5" xr3:uid="{376D47ED-3CE1-6040-9561-9EFFF63DE629}" name="2026" totalsRowFunction="sum" dataDxfId="243" totalsRowDxfId="242" dataCellStyle="Comma"/>
    <tableColumn id="6" xr3:uid="{5902029A-D689-CB43-9DD3-888C62F95D64}" name="2027" totalsRowFunction="sum" dataDxfId="241" totalsRowDxfId="240" dataCellStyle="Comma"/>
    <tableColumn id="7" xr3:uid="{DEFF5695-DFAA-0C42-B996-7914A6534765}" name="2028" totalsRowFunction="sum" dataDxfId="239" totalsRowDxfId="238" dataCellStyle="Comma"/>
    <tableColumn id="8" xr3:uid="{DA964F6B-FAD7-074D-AFFE-A731AC6A5ADF}" name="2029" totalsRowFunction="sum" dataDxfId="237" totalsRowDxfId="236" dataCellStyle="Comma"/>
    <tableColumn id="9" xr3:uid="{8011E7A7-6FB4-1344-B606-557A75FC6E3E}" name="2030" totalsRowFunction="sum" dataDxfId="235" totalsRowDxfId="234" dataCellStyle="Comma"/>
    <tableColumn id="10" xr3:uid="{9EF28CD6-825D-E24F-8E30-EFD6674D59E1}" name="2031" totalsRowFunction="sum" dataDxfId="233" totalsRowDxfId="232" dataCellStyle="Comma"/>
    <tableColumn id="11" xr3:uid="{30CA743D-2942-4544-9A3E-BC18F898D37D}" name="2032" totalsRowFunction="sum" dataDxfId="231" totalsRowDxfId="230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9" dataDxfId="228" totalsRowDxfId="227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6"/>
    <tableColumn id="2" xr3:uid="{2B1CCD52-0B57-AE43-9C86-45DD61C25858}" name="2019" totalsRowFunction="sum" dataDxfId="225" totalsRowDxfId="224" dataCellStyle="Comma">
      <calculatedColumnFormula>$C$10</calculatedColumnFormula>
    </tableColumn>
    <tableColumn id="3" xr3:uid="{B3959DCD-8B88-6743-B7BD-90FB273FDD75}" name="2020" totalsRowFunction="sum" dataDxfId="223" totalsRowDxfId="222" dataCellStyle="Comma">
      <calculatedColumnFormula>$C$10</calculatedColumnFormula>
    </tableColumn>
    <tableColumn id="4" xr3:uid="{5C2B67C1-E6FB-C342-8D11-D84155D57722}" name="2021" totalsRowFunction="sum" dataDxfId="221" totalsRowDxfId="220" dataCellStyle="Comma">
      <calculatedColumnFormula>$C$10</calculatedColumnFormula>
    </tableColumn>
    <tableColumn id="5" xr3:uid="{BD4B3AD5-EF20-2E41-AAE9-C449FBE6EBED}" name="2022" totalsRowFunction="sum" dataDxfId="219" totalsRowDxfId="218" dataCellStyle="Comma">
      <calculatedColumnFormula>$C$10</calculatedColumnFormula>
    </tableColumn>
    <tableColumn id="6" xr3:uid="{0BCB1F53-3AFA-9248-B92C-FD192EA39765}" name="2023" totalsRowFunction="sum" dataDxfId="217" dataCellStyle="Comma">
      <calculatedColumnFormula>$C$14</calculatedColumnFormula>
    </tableColumn>
    <tableColumn id="7" xr3:uid="{619BD53B-7FEB-E244-8BE1-662D18A71EC8}" name="2024" dataDxfId="216" totalsRowDxfId="215" dataCellStyle="Comma">
      <calculatedColumnFormula>$C$14</calculatedColumnFormula>
    </tableColumn>
    <tableColumn id="8" xr3:uid="{C2DAE3E4-F421-2646-9C3B-D49B961BFAE8}" name="2025" dataDxfId="214" totalsRowDxfId="213" dataCellStyle="Comma">
      <calculatedColumnFormula>$C$14</calculatedColumnFormula>
    </tableColumn>
    <tableColumn id="9" xr3:uid="{86937C3C-E018-DD45-AC99-F0436F21D37E}" name="2026" dataDxfId="212" totalsRowDxfId="211" dataCellStyle="Comma">
      <calculatedColumnFormula>$C$14</calculatedColumnFormula>
    </tableColumn>
    <tableColumn id="10" xr3:uid="{0ED2701F-7272-7F4F-BDAC-5A0B36F34735}" name="2027" dataDxfId="210" totalsRowDxfId="209" dataCellStyle="Comma">
      <calculatedColumnFormula>$C$14</calculatedColumnFormula>
    </tableColumn>
    <tableColumn id="11" xr3:uid="{924953E8-0B08-084C-88A4-2E9D4ED12687}" name="2028" dataDxfId="208" totalsRowDxfId="207" dataCellStyle="Comma">
      <calculatedColumnFormula>$C$14</calculatedColumnFormula>
    </tableColumn>
    <tableColumn id="12" xr3:uid="{CEC3F315-2D2D-2E49-86D2-AC75553FF7CC}" name="2029" dataDxfId="206" totalsRowDxfId="205" dataCellStyle="Comma">
      <calculatedColumnFormula>$C$14</calculatedColumnFormula>
    </tableColumn>
    <tableColumn id="13" xr3:uid="{3E32D8D0-438C-544C-AE07-B7766903BA6C}" name="2030" dataDxfId="204" totalsRowDxfId="203" dataCellStyle="Comma">
      <calculatedColumnFormula>$C$14</calculatedColumnFormula>
    </tableColumn>
    <tableColumn id="14" xr3:uid="{253B6EAB-1714-D944-9EC6-E76956CEEA2E}" name="2031" dataDxfId="202" totalsRowDxfId="201" dataCellStyle="Comma">
      <calculatedColumnFormula>$C$14</calculatedColumnFormula>
    </tableColumn>
    <tableColumn id="15" xr3:uid="{5944E335-1D68-4F4D-9F09-0FF522318C19}" name="2032" dataDxfId="200" totalsRowDxfId="199" dataCellStyle="Comma">
      <calculatedColumnFormula>$C$14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/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tabSelected="1" zoomScale="77" zoomScaleNormal="80" workbookViewId="0">
      <selection activeCell="C9" sqref="C9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Office'!C9</f>
        <v>0.80649534844370618</v>
      </c>
      <c r="D3" s="20">
        <f>'TE Office'!D9</f>
        <v>0.84026537663964185</v>
      </c>
      <c r="E3" s="20">
        <f>'TE Office'!E9</f>
        <v>0.90220391872154071</v>
      </c>
      <c r="F3" s="20">
        <f>'TE Office'!F9</f>
        <v>0.9044747124226673</v>
      </c>
      <c r="G3" s="20">
        <f>'TE Office'!G9</f>
        <v>0.90451175770853975</v>
      </c>
      <c r="H3" s="20">
        <f>'TE Office'!H9</f>
        <v>0.92648493577571611</v>
      </c>
      <c r="I3" s="20">
        <f>'TE Office'!I9</f>
        <v>0.92570461114658731</v>
      </c>
      <c r="J3" s="20">
        <f>'TE Office'!J9</f>
        <v>0.92721293054160059</v>
      </c>
      <c r="K3" s="20">
        <f>'TE Office'!K9</f>
        <v>0.92721293054160059</v>
      </c>
      <c r="L3" s="20">
        <f>'TE Office'!L9</f>
        <v>0.92721293054160059</v>
      </c>
      <c r="M3" s="20">
        <f>'TE Office'!M9</f>
        <v>0.92721293054160059</v>
      </c>
    </row>
    <row r="4" spans="2:14" s="2" customFormat="1" x14ac:dyDescent="0.2">
      <c r="B4" s="2" t="s">
        <v>112</v>
      </c>
      <c r="C4" s="20">
        <f>'TE Office'!C18</f>
        <v>0.80525498994983757</v>
      </c>
      <c r="D4" s="20">
        <f>'TE Office'!D18</f>
        <v>0.80985763184168136</v>
      </c>
      <c r="E4" s="20">
        <f>'TE Office'!E18</f>
        <v>0.86385627153958866</v>
      </c>
      <c r="F4" s="20">
        <f>'TE Office'!F18</f>
        <v>0.86259294496847894</v>
      </c>
      <c r="G4" s="20">
        <f>'TE Office'!G18</f>
        <v>0.86038191766189331</v>
      </c>
      <c r="H4" s="20">
        <f>'TE Office'!H18</f>
        <v>0.84411497590289675</v>
      </c>
      <c r="I4" s="20">
        <f>'TE Office'!I18</f>
        <v>0.84176328627380548</v>
      </c>
      <c r="J4" s="20">
        <f>'TE Office'!J18</f>
        <v>0.84175505398805606</v>
      </c>
      <c r="K4" s="20">
        <f>'TE Office'!K18</f>
        <v>0.84175505398805606</v>
      </c>
      <c r="L4" s="20">
        <f>'TE Office'!L18</f>
        <v>0.84175505398805606</v>
      </c>
      <c r="M4" s="20">
        <f>'TE Office'!M18</f>
        <v>0.84175505398805606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Office'!C7</f>
        <v>248951980320.72696</v>
      </c>
      <c r="D13" s="8">
        <f>'TE Office'!D7</f>
        <v>257601884350.43256</v>
      </c>
      <c r="E13" s="8">
        <f>'TE Office'!E7</f>
        <v>277388735203.60236</v>
      </c>
      <c r="F13" s="8">
        <f>'TE Office'!F7</f>
        <v>278166515859.30579</v>
      </c>
      <c r="G13" s="8">
        <f>'TE Office'!G7</f>
        <v>277485942859.30579</v>
      </c>
      <c r="H13" s="8">
        <f>'TE Office'!H7</f>
        <v>286339746626.41614</v>
      </c>
      <c r="I13" s="8">
        <f>'TE Office'!I7</f>
        <v>286482307868.04254</v>
      </c>
      <c r="J13" s="8">
        <f>'TE Office'!J7</f>
        <v>287010941468.04254</v>
      </c>
      <c r="K13" s="8">
        <f>'TE Office'!K7</f>
        <v>288218875367.69824</v>
      </c>
      <c r="L13" s="8">
        <f>'TE Office'!L7</f>
        <v>288621520000.91675</v>
      </c>
      <c r="M13" s="8">
        <f>'TE Office'!M7</f>
        <v>288621520000.91675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16399663023.428572</v>
      </c>
      <c r="E15" s="8" cm="1">
        <f t="array" ref="E15">Table36[2024]</f>
        <v>19689295616.715302</v>
      </c>
      <c r="F15" s="8" cm="1">
        <f t="array" ref="F15">Table36[2025]</f>
        <v>19809900279.349739</v>
      </c>
      <c r="G15" s="8" cm="1">
        <f t="array" ref="G15">Table36[2026]</f>
        <v>19811867800.310638</v>
      </c>
      <c r="H15" s="8" cm="1">
        <f t="array" ref="H15">Table36[2027]</f>
        <v>20978890470.174236</v>
      </c>
      <c r="I15" s="8" cm="1">
        <f t="array" ref="I15">Table36[2028]</f>
        <v>20937446463.792358</v>
      </c>
      <c r="J15" s="8" cm="1">
        <f t="array" ref="J15">Table36[2029]</f>
        <v>21017555172.782658</v>
      </c>
      <c r="K15" s="8" cm="1">
        <f t="array" ref="K15">Table36[2030]</f>
        <v>21017555172.782658</v>
      </c>
      <c r="L15" s="8" cm="1">
        <f t="array" ref="L15">Table36[2031]</f>
        <v>21017555172.782658</v>
      </c>
      <c r="M15" s="8" cm="1">
        <f t="array" ref="M15">Table36[2032]</f>
        <v>21017555172.782658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9645327521.1890831</v>
      </c>
      <c r="F17" s="8">
        <f>Table4[[#Totals],[2025]]</f>
        <v>9737588315.9463348</v>
      </c>
      <c r="G17" s="8">
        <f>Table4[[#Totals],[2026]]</f>
        <v>9739093440.5707798</v>
      </c>
      <c r="H17" s="8">
        <f>Table4[[#Totals],[2027]]</f>
        <v>10631848634.851328</v>
      </c>
      <c r="I17" s="8">
        <f>Table4[[#Totals],[2028]]</f>
        <v>10600144578.945076</v>
      </c>
      <c r="J17" s="8">
        <f>Table4[[#Totals],[2029]]</f>
        <v>10661426564.209816</v>
      </c>
      <c r="K17" s="8">
        <f>Table4[[#Totals],[2030]]</f>
        <v>10661426564.209816</v>
      </c>
      <c r="L17" s="8">
        <f>Table4[[#Totals],[2031]]</f>
        <v>10661426564.209816</v>
      </c>
      <c r="M17" s="8">
        <f>Table4[[#Totals],[2032]]</f>
        <v>10661426564.209816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5000000000</v>
      </c>
      <c r="F18" s="8">
        <f>SH!I4</f>
        <v>5500000000</v>
      </c>
      <c r="G18" s="8">
        <f>SH!J4</f>
        <v>6000000000</v>
      </c>
      <c r="H18" s="8">
        <f>SH!K4</f>
        <v>6500000000</v>
      </c>
      <c r="I18" s="8">
        <f>SH!L4</f>
        <v>7000000000</v>
      </c>
      <c r="J18" s="8">
        <f>SH!M4</f>
        <v>7500000000</v>
      </c>
      <c r="K18" s="8">
        <f>SH!N4</f>
        <v>8000000000</v>
      </c>
      <c r="L18" s="8">
        <f>SH!O4</f>
        <v>8000000000</v>
      </c>
      <c r="M18" s="8">
        <f>SH!P4</f>
        <v>8000000000</v>
      </c>
      <c r="N18" s="23"/>
    </row>
    <row r="19" spans="2:14" ht="20" customHeight="1" x14ac:dyDescent="0.2">
      <c r="B19" s="1" t="s">
        <v>6</v>
      </c>
      <c r="C19" s="8">
        <v>3500000000</v>
      </c>
      <c r="D19" s="8">
        <v>3500000000</v>
      </c>
      <c r="E19" s="8">
        <v>3500000000</v>
      </c>
      <c r="F19" s="8">
        <v>3500000000</v>
      </c>
      <c r="G19" s="8">
        <v>3500000000</v>
      </c>
      <c r="H19" s="8">
        <v>3500000000</v>
      </c>
      <c r="I19" s="8">
        <v>3500000000</v>
      </c>
      <c r="J19" s="8">
        <v>3500000000</v>
      </c>
      <c r="K19" s="8">
        <v>3500000000</v>
      </c>
      <c r="L19" s="8">
        <v>3500000000</v>
      </c>
      <c r="M19" s="8">
        <v>3500000000</v>
      </c>
      <c r="N19" s="23"/>
    </row>
    <row r="20" spans="2:14" ht="20" customHeight="1" x14ac:dyDescent="0.2">
      <c r="B20" s="1" t="s">
        <v>0</v>
      </c>
      <c r="C20" s="8">
        <f>Ampera!C4</f>
        <v>8071906956</v>
      </c>
      <c r="D20" s="8">
        <f>Ampera!D4</f>
        <v>8071906956</v>
      </c>
      <c r="E20" s="8">
        <f>Ampera!E4</f>
        <v>8071906956</v>
      </c>
      <c r="F20" s="8">
        <f>Ampera!F4</f>
        <v>8071906956</v>
      </c>
      <c r="G20" s="8">
        <f>Ampera!G4</f>
        <v>8896666956</v>
      </c>
      <c r="H20" s="8">
        <f>Ampera!H4</f>
        <v>8896666956</v>
      </c>
      <c r="I20" s="8">
        <f>Ampera!I4</f>
        <v>8896666956</v>
      </c>
      <c r="J20" s="8">
        <f>Ampera!J4</f>
        <v>8896666956</v>
      </c>
      <c r="K20" s="8">
        <f>Ampera!K4</f>
        <v>8896666956</v>
      </c>
      <c r="L20" s="8">
        <f>Ampera!L4</f>
        <v>8896666956</v>
      </c>
      <c r="M20" s="8">
        <f>Ampera!M4</f>
        <v>8896666956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8000000000</v>
      </c>
      <c r="E22" s="8">
        <f>Dago!H4</f>
        <v>9000000000</v>
      </c>
      <c r="F22" s="8">
        <f>Dago!I4</f>
        <v>9000000000</v>
      </c>
      <c r="G22" s="8">
        <f>Dago!J4</f>
        <v>10000000000</v>
      </c>
      <c r="H22" s="8">
        <f>Dago!K4</f>
        <v>10000000000</v>
      </c>
      <c r="I22" s="8">
        <f>Dago!L4</f>
        <v>11000000000</v>
      </c>
      <c r="J22" s="8">
        <f>Dago!M4</f>
        <v>11000000000</v>
      </c>
      <c r="K22" s="8">
        <f>Dago!N4</f>
        <v>12000000000</v>
      </c>
      <c r="L22" s="8">
        <f>Dago!O4</f>
        <v>12000000000</v>
      </c>
      <c r="M22" s="8">
        <f>Dago!P4</f>
        <v>13000000000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319090058680.66931</v>
      </c>
      <c r="D23" s="9">
        <f>SUBTOTAL(109,Table2[2023])</f>
        <v>333726974278.32971</v>
      </c>
      <c r="E23" s="9">
        <f>SUBTOTAL(109,Table2[2024])</f>
        <v>361287978320.97528</v>
      </c>
      <c r="F23" s="9">
        <f>SUBTOTAL(109,Table2[2025])</f>
        <v>363484014434.07043</v>
      </c>
      <c r="G23" s="9">
        <f>SUBTOTAL(109,Table2[2026])</f>
        <v>365726754079.65582</v>
      </c>
      <c r="H23" s="9">
        <f>SUBTOTAL(109,Table2[2027])</f>
        <v>377740335710.91028</v>
      </c>
      <c r="I23" s="9">
        <f>SUBTOTAL(109,Table2[2028])</f>
        <v>379909748890.24854</v>
      </c>
      <c r="J23" s="9">
        <f>SUBTOTAL(109,Table2[2029])</f>
        <v>381679773184.5036</v>
      </c>
      <c r="K23" s="9">
        <f>SUBTOTAL(109,Table2[2030])</f>
        <v>384987707084.1593</v>
      </c>
      <c r="L23" s="9">
        <f>SUBTOTAL(109,Table2[2031])</f>
        <v>385990351717.37781</v>
      </c>
      <c r="M23" s="9">
        <f>SUBTOTAL(109,Table2[2032])</f>
        <v>387590351717.37781</v>
      </c>
      <c r="N23" s="24"/>
    </row>
    <row r="24" spans="2:14" ht="20" customHeight="1" x14ac:dyDescent="0.2">
      <c r="D24" s="8">
        <f>Table2[[#Totals],[2023]]/14750</f>
        <v>22625557.578191847</v>
      </c>
      <c r="E24" s="8">
        <f>Table2[[#Totals],[2024]]/14750</f>
        <v>24494100.225150868</v>
      </c>
      <c r="F24" s="8">
        <f>Table2[[#Totals],[2025]]/14750</f>
        <v>24642984.029428504</v>
      </c>
      <c r="G24" s="8">
        <f>Table2[[#Totals],[2026]]/14750</f>
        <v>24795034.174891919</v>
      </c>
      <c r="H24" s="8">
        <f>Table2[[#Totals],[2027]]/14750</f>
        <v>25609514.285485443</v>
      </c>
      <c r="I24" s="8">
        <f>Table2[[#Totals],[2028]]/14750</f>
        <v>25756593.145101596</v>
      </c>
      <c r="J24" s="8">
        <f>Table2[[#Totals],[2029]]/14750</f>
        <v>25876594.792169735</v>
      </c>
      <c r="K24" s="8">
        <f>Table2[[#Totals],[2030]]/14750</f>
        <v>26100861.497231141</v>
      </c>
      <c r="L24" s="8">
        <f>Table2[[#Totals],[2031]]/14750</f>
        <v>26168837.404567987</v>
      </c>
      <c r="M24" s="8">
        <f>Table2[[#Totals],[2032]]/14750</f>
        <v>26277311.980839174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Office'!C16</f>
        <v>248555490720.72696</v>
      </c>
      <c r="D28" s="98">
        <f>'TE Office'!D16</f>
        <v>247725126742.11261</v>
      </c>
      <c r="E28" s="98">
        <f>'TE Office'!E16</f>
        <v>264727726609.62979</v>
      </c>
      <c r="F28" s="98">
        <f>'TE Office'!F16</f>
        <v>264273661472.84836</v>
      </c>
      <c r="G28" s="98">
        <f>'TE Office'!G16</f>
        <v>262845412632.84836</v>
      </c>
      <c r="H28" s="98">
        <f>'TE Office'!H16</f>
        <v>258128283672.504</v>
      </c>
      <c r="I28" s="98">
        <f>'TE Office'!I16</f>
        <v>257680431645.72256</v>
      </c>
      <c r="J28" s="98">
        <f>'TE Office'!J16</f>
        <v>257680431645.72256</v>
      </c>
      <c r="K28" s="98">
        <f>'TE Office'!K16</f>
        <v>258673138195.3782</v>
      </c>
      <c r="L28" s="98">
        <f>'TE Office'!L16</f>
        <v>259004040378.59674</v>
      </c>
      <c r="M28" s="98">
        <f>'TE Office'!M16</f>
        <v>259004040378.59674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16399663023.428572</v>
      </c>
      <c r="E30" s="8" cm="1">
        <f t="array" ref="E30">Table36[2024]</f>
        <v>19689295616.715302</v>
      </c>
      <c r="F30" s="8" cm="1">
        <f t="array" ref="F30">Table36[2025]</f>
        <v>19809900279.349739</v>
      </c>
      <c r="G30" s="8" cm="1">
        <f t="array" ref="G30">Table36[2026]</f>
        <v>19811867800.310638</v>
      </c>
      <c r="H30" s="8" cm="1">
        <f t="array" ref="H30">Table36[2027]</f>
        <v>20978890470.174236</v>
      </c>
      <c r="I30" s="8" cm="1">
        <f t="array" ref="I30">Table36[2028]</f>
        <v>20937446463.792358</v>
      </c>
      <c r="J30" s="8" cm="1">
        <f t="array" ref="J30">Table36[2029]</f>
        <v>21017555172.782658</v>
      </c>
      <c r="K30" s="8" cm="1">
        <f t="array" ref="K30">Table36[2030]</f>
        <v>21017555172.782658</v>
      </c>
      <c r="L30" s="8" cm="1">
        <f t="array" ref="L30">Table36[2031]</f>
        <v>21017555172.782658</v>
      </c>
      <c r="M30" s="8" cm="1">
        <f t="array" ref="M30">Table36[2032]</f>
        <v>21017555172.782658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9645327521.1890831</v>
      </c>
      <c r="F32" s="8">
        <f>Table4[[#Totals],[2025]]</f>
        <v>9737588315.9463348</v>
      </c>
      <c r="G32" s="8">
        <f>Table4[[#Totals],[2026]]</f>
        <v>9739093440.5707798</v>
      </c>
      <c r="H32" s="8">
        <f>Table4[[#Totals],[2027]]</f>
        <v>10631848634.851328</v>
      </c>
      <c r="I32" s="8">
        <f>Table4[[#Totals],[2028]]</f>
        <v>10600144578.945076</v>
      </c>
      <c r="J32" s="8">
        <f>Table4[[#Totals],[2029]]</f>
        <v>10661426564.209816</v>
      </c>
      <c r="K32" s="8">
        <f>Table4[[#Totals],[2030]]</f>
        <v>10661426564.209816</v>
      </c>
      <c r="L32" s="8">
        <f>Table4[[#Totals],[2031]]</f>
        <v>10661426564.209816</v>
      </c>
      <c r="M32" s="8">
        <f>Table4[[#Totals],[2032]]</f>
        <v>10661426564.209816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8071906956</v>
      </c>
      <c r="D35" s="8">
        <f>Ampera!D4</f>
        <v>8071906956</v>
      </c>
      <c r="E35" s="8">
        <f>Ampera!E4</f>
        <v>8071906956</v>
      </c>
      <c r="F35" s="8">
        <f>Ampera!F4</f>
        <v>8071906956</v>
      </c>
      <c r="G35" s="8">
        <f>Ampera!G4</f>
        <v>8896666956</v>
      </c>
      <c r="H35" s="8">
        <f>Ampera!H4</f>
        <v>8896666956</v>
      </c>
      <c r="I35" s="8">
        <f>Ampera!I4</f>
        <v>8896666956</v>
      </c>
      <c r="J35" s="8">
        <f>Ampera!J4</f>
        <v>8896666956</v>
      </c>
      <c r="K35" s="8">
        <f>Ampera!K4</f>
        <v>8896666956</v>
      </c>
      <c r="L35" s="8">
        <f>Ampera!L4</f>
        <v>8896666956</v>
      </c>
      <c r="M35" s="8">
        <f>Ampera!M4</f>
        <v>8896666956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8000000000</v>
      </c>
      <c r="E37" s="8">
        <f>Dago!H4</f>
        <v>9000000000</v>
      </c>
      <c r="F37" s="8">
        <f>Dago!I4</f>
        <v>9000000000</v>
      </c>
      <c r="G37" s="8">
        <f>Dago!J4</f>
        <v>10000000000</v>
      </c>
      <c r="H37" s="8">
        <f>Dago!K4</f>
        <v>10000000000</v>
      </c>
      <c r="I37" s="8">
        <f>Dago!L4</f>
        <v>11000000000</v>
      </c>
      <c r="J37" s="8">
        <f>Dago!M4</f>
        <v>11000000000</v>
      </c>
      <c r="K37" s="8">
        <f>Dago!N4</f>
        <v>12000000000</v>
      </c>
      <c r="L37" s="8">
        <f>Dago!O4</f>
        <v>12000000000</v>
      </c>
      <c r="M37" s="8">
        <f>Dago!P4</f>
        <v>13000000000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318693569080.66931</v>
      </c>
      <c r="D38" s="9">
        <f>SUBTOTAL(109,Table211[2023])</f>
        <v>323850216670.00977</v>
      </c>
      <c r="E38" s="9">
        <f>SUBTOTAL(109,Table211[2024])</f>
        <v>348376969727.00275</v>
      </c>
      <c r="F38" s="9">
        <f>SUBTOTAL(109,Table211[2025])</f>
        <v>349091160047.61304</v>
      </c>
      <c r="G38" s="9">
        <f>SUBTOTAL(109,Table211[2026])</f>
        <v>350336223853.19836</v>
      </c>
      <c r="H38" s="9">
        <f>SUBTOTAL(109,Table211[2027])</f>
        <v>348778872756.99811</v>
      </c>
      <c r="I38" s="9">
        <f>SUBTOTAL(109,Table211[2028])</f>
        <v>350357872667.92853</v>
      </c>
      <c r="J38" s="9">
        <f>SUBTOTAL(109,Table211[2029])</f>
        <v>351599263362.18365</v>
      </c>
      <c r="K38" s="9">
        <f>SUBTOTAL(109,Table211[2030])</f>
        <v>354691969911.83929</v>
      </c>
      <c r="L38" s="9">
        <f>SUBTOTAL(109,Table211[2031])</f>
        <v>355622872095.0578</v>
      </c>
      <c r="M38" s="9">
        <f>SUBTOTAL(109,Table211[2032])</f>
        <v>357222872095.0578</v>
      </c>
      <c r="N38" s="24"/>
    </row>
    <row r="39" spans="2:14" x14ac:dyDescent="0.2">
      <c r="D39" s="8">
        <f>Table211[[#Totals],[2023]]/14750</f>
        <v>21955946.892882019</v>
      </c>
      <c r="E39" s="8">
        <f>Table211[[#Totals],[2024]]/14750</f>
        <v>23618777.608610354</v>
      </c>
      <c r="F39" s="8">
        <f>Table211[[#Totals],[2025]]/14750</f>
        <v>23667197.291363597</v>
      </c>
      <c r="G39" s="8">
        <f>Table211[[#Totals],[2026]]/14750</f>
        <v>23751608.396827009</v>
      </c>
      <c r="H39" s="8">
        <f>Table211[[#Totals],[2027]]/14750</f>
        <v>23646025.27166089</v>
      </c>
      <c r="I39" s="8">
        <f>Table211[[#Totals],[2028]]/14750</f>
        <v>23753076.113079902</v>
      </c>
      <c r="J39" s="8">
        <f>Table211[[#Totals],[2029]]/14750</f>
        <v>23837238.194046348</v>
      </c>
      <c r="K39" s="8">
        <f>Table211[[#Totals],[2030]]/14750</f>
        <v>24046913.214361984</v>
      </c>
      <c r="L39" s="8">
        <f>Table211[[#Totals],[2031]]/14750</f>
        <v>24110025.226783581</v>
      </c>
      <c r="M39" s="8">
        <f>Table211[[#Totals],[2032]]/14750</f>
        <v>24218499.803054765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N18"/>
  <sheetViews>
    <sheetView showGridLines="0" topLeftCell="A12" zoomScaleNormal="100" workbookViewId="0">
      <selection activeCell="A7" sqref="A7:XFD7"/>
    </sheetView>
  </sheetViews>
  <sheetFormatPr baseColWidth="10" defaultRowHeight="16" x14ac:dyDescent="0.2"/>
  <cols>
    <col min="1" max="1" width="10.83203125" style="1"/>
    <col min="2" max="2" width="10.83203125" style="29"/>
    <col min="3" max="13" width="15.1640625" style="1" customWidth="1"/>
    <col min="14" max="16384" width="10.83203125" style="1"/>
  </cols>
  <sheetData>
    <row r="3" spans="2:1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4" s="6" customFormat="1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233231321164.88779</v>
      </c>
      <c r="I5" s="33">
        <v>233013231109.84375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53108425461.528358</v>
      </c>
      <c r="I6" s="33">
        <v>53469076758.198814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s="30" customFormat="1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286339746626.41614</v>
      </c>
      <c r="I7" s="35">
        <v>286482307868.04254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48983.682842773262</v>
      </c>
      <c r="D8" s="33">
        <v>51034.75524378995</v>
      </c>
      <c r="E8" s="33">
        <v>54796.683823958658</v>
      </c>
      <c r="F8" s="33">
        <v>54934.603823958656</v>
      </c>
      <c r="G8" s="33">
        <v>54936.853823958656</v>
      </c>
      <c r="H8" s="33">
        <v>56271.42715729199</v>
      </c>
      <c r="I8" s="33">
        <v>56224.032991632623</v>
      </c>
      <c r="J8" s="33">
        <v>56315.642991632631</v>
      </c>
      <c r="K8" s="33">
        <v>56315.642991632631</v>
      </c>
      <c r="L8" s="33">
        <v>56315.642991632631</v>
      </c>
      <c r="M8" s="33">
        <v>56315.642991632631</v>
      </c>
      <c r="N8" s="39"/>
    </row>
    <row r="9" spans="2:14" ht="21" customHeight="1" thickBot="1" x14ac:dyDescent="0.25">
      <c r="B9" s="29" t="s">
        <v>68</v>
      </c>
      <c r="C9" s="36">
        <v>0.80649534844370618</v>
      </c>
      <c r="D9" s="37">
        <v>0.84026537663964185</v>
      </c>
      <c r="E9" s="37">
        <v>0.90220391872154071</v>
      </c>
      <c r="F9" s="37">
        <v>0.9044747124226673</v>
      </c>
      <c r="G9" s="37">
        <v>0.90451175770853975</v>
      </c>
      <c r="H9" s="37">
        <v>0.92648493577571611</v>
      </c>
      <c r="I9" s="37">
        <v>0.92570461114658731</v>
      </c>
      <c r="J9" s="37">
        <v>0.92721293054160059</v>
      </c>
      <c r="K9" s="37">
        <v>0.92721293054160059</v>
      </c>
      <c r="L9" s="37">
        <v>0.92721293054160059</v>
      </c>
      <c r="M9" s="37">
        <v>0.92721293054160059</v>
      </c>
      <c r="N9" s="41"/>
    </row>
    <row r="10" spans="2:14" ht="21" customHeight="1" x14ac:dyDescent="0.2"/>
    <row r="11" spans="2:14" ht="21" customHeight="1" x14ac:dyDescent="0.2"/>
    <row r="12" spans="2:14" s="6" customFormat="1" ht="21" customHeight="1" x14ac:dyDescent="0.2">
      <c r="B12" s="29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2:14" s="6" customFormat="1" ht="21" customHeight="1" thickBot="1" x14ac:dyDescent="0.25">
      <c r="B13" s="29" t="s">
        <v>64</v>
      </c>
      <c r="C13" s="31">
        <v>44926</v>
      </c>
      <c r="D13" s="31">
        <v>45291</v>
      </c>
      <c r="E13" s="31">
        <v>45657</v>
      </c>
      <c r="F13" s="31">
        <v>46022</v>
      </c>
      <c r="G13" s="31">
        <v>46387</v>
      </c>
      <c r="H13" s="31">
        <v>46752</v>
      </c>
      <c r="I13" s="31">
        <v>47118</v>
      </c>
      <c r="J13" s="31">
        <v>47483</v>
      </c>
      <c r="K13" s="31">
        <v>47848</v>
      </c>
      <c r="L13" s="31">
        <v>48213</v>
      </c>
      <c r="M13" s="31">
        <v>48579</v>
      </c>
    </row>
    <row r="14" spans="2:14" ht="21" customHeight="1" x14ac:dyDescent="0.2">
      <c r="B14" s="29" t="s">
        <v>65</v>
      </c>
      <c r="C14" s="32">
        <v>205309239968.79742</v>
      </c>
      <c r="D14" s="33">
        <v>203842487833.58954</v>
      </c>
      <c r="E14" s="33">
        <v>216638026103.52374</v>
      </c>
      <c r="F14" s="33">
        <v>215898175183.52374</v>
      </c>
      <c r="G14" s="33">
        <v>214590112343.52374</v>
      </c>
      <c r="H14" s="33">
        <v>209766672183.52374</v>
      </c>
      <c r="I14" s="33">
        <v>209114994623.52374</v>
      </c>
      <c r="J14" s="33">
        <v>209114994623.52374</v>
      </c>
      <c r="K14" s="33">
        <v>209114994623.52374</v>
      </c>
      <c r="L14" s="33">
        <v>209114994623.52374</v>
      </c>
      <c r="M14" s="33">
        <v>209114994623.52374</v>
      </c>
      <c r="N14" s="38"/>
    </row>
    <row r="15" spans="2:14" ht="21" customHeight="1" x14ac:dyDescent="0.2">
      <c r="B15" s="29" t="s">
        <v>66</v>
      </c>
      <c r="C15" s="32">
        <v>43246250751.929543</v>
      </c>
      <c r="D15" s="33">
        <v>43882638908.523056</v>
      </c>
      <c r="E15" s="33">
        <v>48089700506.106056</v>
      </c>
      <c r="F15" s="33">
        <v>48375486289.324608</v>
      </c>
      <c r="G15" s="33">
        <v>48255300289.324608</v>
      </c>
      <c r="H15" s="33">
        <v>48361611488.980263</v>
      </c>
      <c r="I15" s="33">
        <v>48565437022.198814</v>
      </c>
      <c r="J15" s="33">
        <v>48565437022.198814</v>
      </c>
      <c r="K15" s="33">
        <v>49558143571.854462</v>
      </c>
      <c r="L15" s="33">
        <v>49889045755.073013</v>
      </c>
      <c r="M15" s="33">
        <v>49889045755.073013</v>
      </c>
      <c r="N15" s="39"/>
    </row>
    <row r="16" spans="2:14" s="30" customFormat="1" ht="21" customHeight="1" x14ac:dyDescent="0.2">
      <c r="B16" s="29" t="s">
        <v>20</v>
      </c>
      <c r="C16" s="34">
        <v>248555490720.72696</v>
      </c>
      <c r="D16" s="35">
        <v>247725126742.11261</v>
      </c>
      <c r="E16" s="35">
        <v>264727726609.62979</v>
      </c>
      <c r="F16" s="35">
        <v>264273661472.84836</v>
      </c>
      <c r="G16" s="35">
        <v>262845412632.84836</v>
      </c>
      <c r="H16" s="35">
        <v>258128283672.504</v>
      </c>
      <c r="I16" s="35">
        <v>257680431645.72256</v>
      </c>
      <c r="J16" s="35">
        <v>257680431645.72256</v>
      </c>
      <c r="K16" s="35">
        <v>258673138195.3782</v>
      </c>
      <c r="L16" s="35">
        <v>259004040378.59674</v>
      </c>
      <c r="M16" s="35">
        <v>259004040378.59674</v>
      </c>
      <c r="N16" s="40"/>
    </row>
    <row r="17" spans="2:14" ht="21" customHeight="1" x14ac:dyDescent="0.2">
      <c r="B17" s="29" t="s">
        <v>67</v>
      </c>
      <c r="C17" s="32">
        <v>48908.34784277327</v>
      </c>
      <c r="D17" s="33">
        <v>49187.896077123289</v>
      </c>
      <c r="E17" s="33">
        <v>52467.582991632633</v>
      </c>
      <c r="F17" s="33">
        <v>52390.85299163263</v>
      </c>
      <c r="G17" s="33">
        <v>52256.562991632636</v>
      </c>
      <c r="H17" s="33">
        <v>51268.56632496597</v>
      </c>
      <c r="I17" s="33">
        <v>51125.732991632634</v>
      </c>
      <c r="J17" s="33">
        <v>51125.232991632634</v>
      </c>
      <c r="K17" s="33">
        <v>51125.232991632634</v>
      </c>
      <c r="L17" s="33">
        <v>51125.232991632634</v>
      </c>
      <c r="M17" s="33">
        <v>51125.232991632634</v>
      </c>
      <c r="N17" s="39"/>
    </row>
    <row r="18" spans="2:14" ht="21" customHeight="1" thickBot="1" x14ac:dyDescent="0.25">
      <c r="B18" s="29" t="s">
        <v>68</v>
      </c>
      <c r="C18" s="36">
        <v>0.80525498994983757</v>
      </c>
      <c r="D18" s="37">
        <v>0.80985763184168136</v>
      </c>
      <c r="E18" s="37">
        <v>0.86385627153958866</v>
      </c>
      <c r="F18" s="37">
        <v>0.86259294496847894</v>
      </c>
      <c r="G18" s="37">
        <v>0.86038191766189331</v>
      </c>
      <c r="H18" s="37">
        <v>0.84411497590289675</v>
      </c>
      <c r="I18" s="37">
        <v>0.84176328627380548</v>
      </c>
      <c r="J18" s="37">
        <v>0.84175505398805606</v>
      </c>
      <c r="K18" s="37">
        <v>0.84175505398805606</v>
      </c>
      <c r="L18" s="37">
        <v>0.84175505398805606</v>
      </c>
      <c r="M18" s="37">
        <v>0.84175505398805606</v>
      </c>
      <c r="N18" s="41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5ADDBC2-ACC9-B94C-98B6-A764A5F6C6A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Office'!C5:M5</xm:f>
              <xm:sqref>N5</xm:sqref>
            </x14:sparkline>
            <x14:sparkline>
              <xm:f>'TE Office'!C6:M6</xm:f>
              <xm:sqref>N6</xm:sqref>
            </x14:sparkline>
            <x14:sparkline>
              <xm:f>'TE Office'!C7:M7</xm:f>
              <xm:sqref>N7</xm:sqref>
            </x14:sparkline>
            <x14:sparkline>
              <xm:f>'TE Office'!C8:M8</xm:f>
              <xm:sqref>N8</xm:sqref>
            </x14:sparkline>
            <x14:sparkline>
              <xm:f>'TE Office'!C9:M9</xm:f>
              <xm:sqref>N9</xm:sqref>
            </x14:sparkline>
          </x14:sparklines>
        </x14:sparklineGroup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Office'!C14:M14</xm:f>
              <xm:sqref>N14</xm:sqref>
            </x14:sparkline>
            <x14:sparkline>
              <xm:f>'TE Office'!C15:M15</xm:f>
              <xm:sqref>N15</xm:sqref>
            </x14:sparkline>
            <x14:sparkline>
              <xm:f>'TE Office'!C16:M16</xm:f>
              <xm:sqref>N16</xm:sqref>
            </x14:sparkline>
            <x14:sparkline>
              <xm:f>'TE Office'!C17:M17</xm:f>
              <xm:sqref>N17</xm:sqref>
            </x14:sparkline>
            <x14:sparkline>
              <xm:f>'TE Office'!C18:M18</xm:f>
              <xm:sqref>N18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2"/>
  <sheetViews>
    <sheetView showGridLines="0" zoomScaleNormal="100" workbookViewId="0">
      <selection activeCell="S30" sqref="S30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 t="shared" ref="C4:E4" si="0">$C$10</f>
        <v>8071906956</v>
      </c>
      <c r="D4" s="8">
        <f t="shared" si="0"/>
        <v>8071906956</v>
      </c>
      <c r="E4" s="8">
        <f t="shared" si="0"/>
        <v>8071906956</v>
      </c>
      <c r="F4" s="8">
        <f>$C$10</f>
        <v>8071906956</v>
      </c>
      <c r="G4" s="8">
        <f>$C$14</f>
        <v>8896666956</v>
      </c>
      <c r="H4" s="8">
        <f t="shared" ref="H4:P4" si="1">$C$14</f>
        <v>8896666956</v>
      </c>
      <c r="I4" s="8">
        <f t="shared" si="1"/>
        <v>8896666956</v>
      </c>
      <c r="J4" s="8">
        <f t="shared" si="1"/>
        <v>8896666956</v>
      </c>
      <c r="K4" s="8">
        <f t="shared" si="1"/>
        <v>8896666956</v>
      </c>
      <c r="L4" s="8">
        <f t="shared" si="1"/>
        <v>8896666956</v>
      </c>
      <c r="M4" s="8">
        <f t="shared" si="1"/>
        <v>8896666956</v>
      </c>
      <c r="N4" s="8">
        <f t="shared" si="1"/>
        <v>8896666956</v>
      </c>
      <c r="O4" s="8">
        <f t="shared" si="1"/>
        <v>8896666956</v>
      </c>
      <c r="P4" s="8">
        <f t="shared" si="1"/>
        <v>8896666956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824760000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2:17" x14ac:dyDescent="0.2">
      <c r="B8" s="47">
        <v>2022</v>
      </c>
    </row>
    <row r="9" spans="2:17" x14ac:dyDescent="0.2">
      <c r="B9" s="42" t="s">
        <v>77</v>
      </c>
      <c r="C9" s="8">
        <v>672658913</v>
      </c>
    </row>
    <row r="10" spans="2:17" x14ac:dyDescent="0.2">
      <c r="B10" s="42" t="s">
        <v>62</v>
      </c>
      <c r="C10" s="8">
        <f>C9*12</f>
        <v>8071906956</v>
      </c>
    </row>
    <row r="12" spans="2:17" x14ac:dyDescent="0.2">
      <c r="B12" s="53" t="s">
        <v>61</v>
      </c>
    </row>
    <row r="13" spans="2:17" x14ac:dyDescent="0.2">
      <c r="B13" s="42" t="s">
        <v>78</v>
      </c>
      <c r="C13" s="8">
        <v>741388913</v>
      </c>
    </row>
    <row r="14" spans="2:17" x14ac:dyDescent="0.2">
      <c r="B14" s="42" t="s">
        <v>60</v>
      </c>
      <c r="C14" s="9">
        <f>C13*12</f>
        <v>8896666956</v>
      </c>
    </row>
    <row r="25" ht="15" customHeight="1" x14ac:dyDescent="0.2"/>
    <row r="26" ht="15" customHeight="1" x14ac:dyDescent="0.2"/>
    <row r="27" ht="20.25" customHeight="1" x14ac:dyDescent="0.2"/>
    <row r="28" ht="20.2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5" ht="15" customHeight="1" x14ac:dyDescent="0.2"/>
    <row r="36" ht="15" customHeight="1" x14ac:dyDescent="0.2"/>
    <row r="37" ht="20.25" customHeight="1" x14ac:dyDescent="0.2"/>
    <row r="38" ht="20.25" customHeight="1" x14ac:dyDescent="0.2"/>
    <row r="39" ht="20.25" customHeight="1" x14ac:dyDescent="0.2"/>
    <row r="40" ht="20.25" customHeight="1" x14ac:dyDescent="0.2"/>
    <row r="41" ht="20.25" customHeight="1" x14ac:dyDescent="0.2"/>
    <row r="42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Normal="100" workbookViewId="0">
      <selection activeCell="G58" sqref="G58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5000000000</v>
      </c>
      <c r="I4" s="8">
        <f>Table36712[[#This Row],[2024]]+I5</f>
        <v>5500000000</v>
      </c>
      <c r="J4" s="8">
        <f>Table36712[[#This Row],[2025]]+J5</f>
        <v>6000000000</v>
      </c>
      <c r="K4" s="8">
        <f>Table36712[[#This Row],[2026]]+K5</f>
        <v>6500000000</v>
      </c>
      <c r="L4" s="8">
        <f>Table36712[[#This Row],[2027]]+L5</f>
        <v>7000000000</v>
      </c>
      <c r="M4" s="8">
        <f>Table36712[[#This Row],[2028]]+M5</f>
        <v>7500000000</v>
      </c>
      <c r="N4" s="8">
        <f>Table36712[[#This Row],[2029]]+N5</f>
        <v>8000000000</v>
      </c>
      <c r="O4" s="8">
        <f>Table36712[[#This Row],[2030]]+O5</f>
        <v>8000000000</v>
      </c>
      <c r="P4" s="8">
        <f>Table36712[[#This Row],[2031]]+P5</f>
        <v>8000000000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500000000</v>
      </c>
      <c r="I5" s="46">
        <v>500000000</v>
      </c>
      <c r="J5" s="46">
        <v>500000000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5:G5 E4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topLeftCell="F1" zoomScaleNormal="100" workbookViewId="0">
      <selection activeCell="K5" sqref="K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8000000000</v>
      </c>
      <c r="H4" s="8">
        <f>Table36710[[#This Row],[2023]]+H5</f>
        <v>9000000000</v>
      </c>
      <c r="I4" s="8">
        <f>Table36710[[#This Row],[2024]]+I5</f>
        <v>9000000000</v>
      </c>
      <c r="J4" s="8">
        <f>Table36710[[#This Row],[2025]]+J5</f>
        <v>10000000000</v>
      </c>
      <c r="K4" s="8">
        <f>Table36710[[#This Row],[2026]]+K5</f>
        <v>10000000000</v>
      </c>
      <c r="L4" s="8">
        <f>Table36710[[#This Row],[2027]]+L5</f>
        <v>11000000000</v>
      </c>
      <c r="M4" s="8">
        <f>Table36710[[#This Row],[2028]]+M5</f>
        <v>11000000000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13000000000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0</v>
      </c>
      <c r="J5" s="46">
        <v>1000000000</v>
      </c>
      <c r="K5" s="46">
        <v>0</v>
      </c>
      <c r="L5" s="46">
        <v>1000000000</v>
      </c>
      <c r="M5" s="46">
        <v>0</v>
      </c>
      <c r="N5" s="46">
        <v>1000000000</v>
      </c>
      <c r="O5" s="46">
        <v>0</v>
      </c>
      <c r="P5" s="46">
        <v>1000000000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G5 D4:E4 G4:P4 K5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zoomScaleNormal="100" workbookViewId="0">
      <selection activeCell="B2" sqref="B2:Q1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0.80649534844370618</v>
      </c>
      <c r="G2" s="62">
        <f>Summary!$D$3</f>
        <v>0.84026537663964185</v>
      </c>
      <c r="H2" s="63">
        <f>Summary!$E$3</f>
        <v>0.90220391872154071</v>
      </c>
      <c r="I2" s="63">
        <f>Summary!$F$3</f>
        <v>0.9044747124226673</v>
      </c>
      <c r="J2" s="63">
        <f>Summary!$G$3</f>
        <v>0.90451175770853975</v>
      </c>
      <c r="K2" s="63">
        <f>Summary!$H$3</f>
        <v>0.92648493577571611</v>
      </c>
      <c r="L2" s="63">
        <f>Summary!$I$3</f>
        <v>0.92570461114658731</v>
      </c>
      <c r="M2" s="63">
        <f>Summary!$J$3</f>
        <v>0.92721293054160059</v>
      </c>
      <c r="N2" s="63">
        <f>Summary!$K$3</f>
        <v>0.92721293054160059</v>
      </c>
      <c r="O2" s="63">
        <f>Summary!$L$3</f>
        <v>0.92721293054160059</v>
      </c>
      <c r="P2" s="63">
        <f>Summary!$M$3</f>
        <v>0.92721293054160059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05" t="s">
        <v>22</v>
      </c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v>16399663023.428572</v>
      </c>
      <c r="H4" s="67">
        <f>Table36[[#This Row],[2023]]+(H2-G2)*100*$H$9</f>
        <v>19689295616.715302</v>
      </c>
      <c r="I4" s="67">
        <f>Table36[[#This Row],[2024]]+(I2-H2)*100*$H$9</f>
        <v>19809900279.349739</v>
      </c>
      <c r="J4" s="67">
        <f>Table36[[#This Row],[2025]]+(J2-I2)*100*$H$9</f>
        <v>19811867800.310638</v>
      </c>
      <c r="K4" s="67">
        <f>Table36[[#This Row],[2026]]+(K2-J2)*100*$H$9</f>
        <v>20978890470.174236</v>
      </c>
      <c r="L4" s="67">
        <f>Table36[[#This Row],[2027]]+(L2-K2)*100*$H$9</f>
        <v>20937446463.792358</v>
      </c>
      <c r="M4" s="67">
        <f>Table36[[#This Row],[2028]]+(M2-L2)*100*$H$9</f>
        <v>21017555172.782658</v>
      </c>
      <c r="N4" s="67">
        <f>Table36[[#This Row],[2029]]+(N2-M2)*100*$H$9</f>
        <v>21017555172.782658</v>
      </c>
      <c r="O4" s="67">
        <f>Table36[[#This Row],[2030]]+(O2-N2)*100*$H$9</f>
        <v>21017555172.782658</v>
      </c>
      <c r="P4" s="67">
        <f>Table36[[#This Row],[2031]]+(P2-O2)*100*$H$9</f>
        <v>21017555172.782658</v>
      </c>
      <c r="Q4" s="79"/>
      <c r="W4" s="45"/>
      <c r="X4" s="107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09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10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1248114071.5262394</v>
      </c>
      <c r="H9" s="76">
        <f>G9/(G8*100)</f>
        <v>531112370.86222953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05" t="s">
        <v>41</v>
      </c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45"/>
    </row>
    <row r="14" spans="2:38" x14ac:dyDescent="0.2">
      <c r="F14" s="77" t="s">
        <v>73</v>
      </c>
      <c r="G14" s="78" t="s">
        <v>74</v>
      </c>
      <c r="W14" s="45"/>
      <c r="X14" s="107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45"/>
    </row>
    <row r="15" spans="2:38" x14ac:dyDescent="0.2">
      <c r="W15" s="45"/>
      <c r="X15" s="109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10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01" t="s">
        <v>42</v>
      </c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56"/>
    </row>
    <row r="24" spans="23:38" ht="15" customHeight="1" x14ac:dyDescent="0.2">
      <c r="X24" s="103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56"/>
    </row>
    <row r="25" spans="23:38" ht="20.25" customHeight="1" x14ac:dyDescent="0.2">
      <c r="X25" s="99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00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01" t="s">
        <v>43</v>
      </c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56"/>
    </row>
    <row r="34" spans="24:38" ht="15" customHeight="1" x14ac:dyDescent="0.2">
      <c r="X34" s="103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56"/>
    </row>
    <row r="35" spans="24:38" ht="20.25" customHeight="1" x14ac:dyDescent="0.2">
      <c r="X35" s="99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00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workbookViewId="0">
      <selection activeCell="B2" sqref="B2:Q15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4"/>
  <sheetViews>
    <sheetView showGridLines="0" workbookViewId="0">
      <selection activeCell="B2" sqref="B2:Q14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0.80649534844370618</v>
      </c>
      <c r="G2" s="43">
        <f>Summary!$D$3</f>
        <v>0.84026537663964185</v>
      </c>
      <c r="H2" s="62">
        <f>Summary!$E$3</f>
        <v>0.90220391872154071</v>
      </c>
      <c r="I2" s="63">
        <f>Summary!$F$3</f>
        <v>0.9044747124226673</v>
      </c>
      <c r="J2" s="63">
        <f>Summary!$G$3</f>
        <v>0.90451175770853975</v>
      </c>
      <c r="K2" s="63">
        <f>Summary!$H$3</f>
        <v>0.92648493577571611</v>
      </c>
      <c r="L2" s="63">
        <f>Summary!$I$3</f>
        <v>0.92570461114658731</v>
      </c>
      <c r="M2" s="63">
        <f>Summary!$J$3</f>
        <v>0.92721293054160059</v>
      </c>
      <c r="N2" s="63">
        <f>Summary!$K$3</f>
        <v>0.92721293054160059</v>
      </c>
      <c r="O2" s="63">
        <f>Summary!$L$3</f>
        <v>0.92721293054160059</v>
      </c>
      <c r="P2" s="63">
        <f>Summary!$M$3</f>
        <v>0.92721293054160059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9645327521.1890831</v>
      </c>
      <c r="I8" s="82">
        <f>Table4[[#Totals],[2024]]+(I2-H2)*100*$I$11</f>
        <v>9737588315.9463348</v>
      </c>
      <c r="J8" s="82">
        <f>Table4[[#Totals],[2025]]+(J2-I2)*100*$I$11</f>
        <v>9739093440.5707798</v>
      </c>
      <c r="K8" s="82">
        <f>Table4[[#Totals],[2026]]+(K2-J2)*100*$I$11</f>
        <v>10631848634.851328</v>
      </c>
      <c r="L8" s="82">
        <f>Table4[[#Totals],[2027]]+(L2-K2)*100*$I$11</f>
        <v>10600144578.945076</v>
      </c>
      <c r="M8" s="82">
        <f>Table4[[#Totals],[2028]]+(M2-L2)*100*$I$11</f>
        <v>10661426564.209816</v>
      </c>
      <c r="N8" s="82">
        <f>Table4[[#Totals],[2029]]+(N2-M2)*100*$I$11</f>
        <v>10661426564.209816</v>
      </c>
      <c r="O8" s="82">
        <f>Table4[[#Totals],[2030]]+(O2-N2)*100*$I$11</f>
        <v>10661426564.209816</v>
      </c>
      <c r="P8" s="82">
        <f>Table4[[#Totals],[2031]]+(P2-O2)*100*$I$11</f>
        <v>10661426564.209816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TE Office</vt:lpstr>
      <vt:lpstr>IN OUT</vt:lpstr>
      <vt:lpstr>Ampera</vt:lpstr>
      <vt:lpstr>SH</vt:lpstr>
      <vt:lpstr>Dago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2022-09-29T10:39:50Z</cp:lastPrinted>
  <dcterms:created xsi:type="dcterms:W3CDTF">2022-09-06T10:21:49Z</dcterms:created>
  <dcterms:modified xsi:type="dcterms:W3CDTF">2022-09-30T08:25:50Z</dcterms:modified>
</cp:coreProperties>
</file>