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56" documentId="8_{94DA5B02-BCEE-0D41-8221-C936EFC04F19}" xr6:coauthVersionLast="47" xr6:coauthVersionMax="47" xr10:uidLastSave="{45C132A9-0246-DD4D-A5B3-89D6C6E62E4A}"/>
  <bookViews>
    <workbookView xWindow="0" yWindow="880" windowWidth="36000" windowHeight="21500" activeTab="1" xr2:uid="{9DA9C85C-0230-484A-A9A5-3ABA148F8E1D}"/>
  </bookViews>
  <sheets>
    <sheet name="Summary" sheetId="1" r:id="rId1"/>
    <sheet name="TE Office (y)" sheetId="7" r:id="rId2"/>
    <sheet name="TE All % (y)" sheetId="16" r:id="rId3"/>
    <sheet name="TE Office (m)" sheetId="15" r:id="rId4"/>
    <sheet name="TE All % (m)" sheetId="14" r:id="rId5"/>
    <sheet name="In-Out 2023 - old" sheetId="13" r:id="rId6"/>
    <sheet name="Ampera" sheetId="6" r:id="rId7"/>
    <sheet name="SH" sheetId="10" r:id="rId8"/>
    <sheet name="Dago" sheetId="9" r:id="rId9"/>
    <sheet name="Listrik" sheetId="17" r:id="rId10"/>
    <sheet name="IT" sheetId="3" r:id="rId11"/>
    <sheet name="Parkir" sheetId="4" r:id="rId12"/>
  </sheets>
  <definedNames>
    <definedName name="_xlnm.Print_Area" localSheetId="0">Summary!$A$2:$P$26</definedName>
    <definedName name="_xlnm.Print_Area" localSheetId="4">'TE All % (m)'!$C$31:$BF$180</definedName>
    <definedName name="_xlnm.Print_Area" localSheetId="3">'TE Office (m)'!$B$24:$BF$148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7" l="1"/>
  <c r="E10" i="7"/>
  <c r="F10" i="7"/>
  <c r="G10" i="7"/>
  <c r="H10" i="7"/>
  <c r="I10" i="7"/>
  <c r="J10" i="7"/>
  <c r="K10" i="7"/>
  <c r="L10" i="7"/>
  <c r="M10" i="7"/>
  <c r="C10" i="7"/>
  <c r="D12" i="7"/>
  <c r="E12" i="7"/>
  <c r="F12" i="7"/>
  <c r="G12" i="7"/>
  <c r="H12" i="7"/>
  <c r="I12" i="7"/>
  <c r="J12" i="7"/>
  <c r="K12" i="7"/>
  <c r="L12" i="7"/>
  <c r="M12" i="7"/>
  <c r="C12" i="7"/>
  <c r="D37" i="7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AS10" i="15"/>
  <c r="AT10" i="15"/>
  <c r="AU10" i="15"/>
  <c r="AV10" i="15"/>
  <c r="AW10" i="15"/>
  <c r="AX10" i="15"/>
  <c r="AY10" i="15"/>
  <c r="AZ10" i="15"/>
  <c r="BA10" i="15"/>
  <c r="BB10" i="15"/>
  <c r="BC10" i="15"/>
  <c r="BD10" i="15"/>
  <c r="BE10" i="15"/>
  <c r="BF10" i="15"/>
  <c r="BG10" i="15"/>
  <c r="BH10" i="15"/>
  <c r="BI10" i="15"/>
  <c r="BJ10" i="15"/>
  <c r="BK10" i="15"/>
  <c r="BL10" i="15"/>
  <c r="BM10" i="15"/>
  <c r="BN10" i="15"/>
  <c r="BO10" i="15"/>
  <c r="BP10" i="15"/>
  <c r="BQ10" i="15"/>
  <c r="BR10" i="15"/>
  <c r="BS10" i="15"/>
  <c r="BT10" i="15"/>
  <c r="BU10" i="15"/>
  <c r="BV10" i="15"/>
  <c r="BW10" i="15"/>
  <c r="BX10" i="15"/>
  <c r="BY10" i="15"/>
  <c r="BZ10" i="15"/>
  <c r="CA10" i="15"/>
  <c r="CB10" i="15"/>
  <c r="CC10" i="15"/>
  <c r="CD10" i="15"/>
  <c r="CE10" i="15"/>
  <c r="CF10" i="15"/>
  <c r="CG10" i="15"/>
  <c r="CH10" i="15"/>
  <c r="CI10" i="15"/>
  <c r="CJ10" i="15"/>
  <c r="CK10" i="15"/>
  <c r="CL10" i="15"/>
  <c r="CM10" i="15"/>
  <c r="CN10" i="15"/>
  <c r="CO10" i="15"/>
  <c r="CP10" i="15"/>
  <c r="CQ10" i="15"/>
  <c r="CR10" i="15"/>
  <c r="CS10" i="15"/>
  <c r="CT10" i="15"/>
  <c r="CU10" i="15"/>
  <c r="CV10" i="15"/>
  <c r="CW10" i="15"/>
  <c r="CX10" i="15"/>
  <c r="CY10" i="15"/>
  <c r="CZ10" i="15"/>
  <c r="DA10" i="15"/>
  <c r="DB10" i="15"/>
  <c r="DC10" i="15"/>
  <c r="DD10" i="15"/>
  <c r="DE10" i="15"/>
  <c r="DF10" i="15"/>
  <c r="DG10" i="15"/>
  <c r="DH10" i="15"/>
  <c r="DI10" i="15"/>
  <c r="DJ10" i="15"/>
  <c r="DK10" i="15"/>
  <c r="DL10" i="15"/>
  <c r="DM10" i="15"/>
  <c r="DN10" i="15"/>
  <c r="DO10" i="15"/>
  <c r="DP10" i="15"/>
  <c r="DQ10" i="15"/>
  <c r="DR10" i="15"/>
  <c r="DS10" i="15"/>
  <c r="DT10" i="15"/>
  <c r="DU10" i="15"/>
  <c r="DV10" i="15"/>
  <c r="DW10" i="15"/>
  <c r="DX10" i="15"/>
  <c r="DY10" i="15"/>
  <c r="DZ10" i="15"/>
  <c r="EA10" i="15"/>
  <c r="EB10" i="15"/>
  <c r="EC10" i="15"/>
  <c r="ED10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AS12" i="15"/>
  <c r="AT12" i="15"/>
  <c r="AU12" i="15"/>
  <c r="AV12" i="15"/>
  <c r="AW12" i="15"/>
  <c r="AX12" i="15"/>
  <c r="AY12" i="15"/>
  <c r="AZ12" i="15"/>
  <c r="BA12" i="15"/>
  <c r="BB12" i="15"/>
  <c r="BC12" i="15"/>
  <c r="BD12" i="15"/>
  <c r="BE12" i="15"/>
  <c r="BF12" i="15"/>
  <c r="BG12" i="15"/>
  <c r="BH12" i="15"/>
  <c r="BI12" i="15"/>
  <c r="BJ12" i="15"/>
  <c r="BK12" i="15"/>
  <c r="BL12" i="15"/>
  <c r="BM12" i="15"/>
  <c r="BN12" i="15"/>
  <c r="BO12" i="15"/>
  <c r="BP12" i="15"/>
  <c r="BQ12" i="15"/>
  <c r="BR12" i="15"/>
  <c r="BS12" i="15"/>
  <c r="BT12" i="15"/>
  <c r="BU12" i="15"/>
  <c r="BV12" i="15"/>
  <c r="BW12" i="15"/>
  <c r="BX12" i="15"/>
  <c r="BY12" i="15"/>
  <c r="BZ12" i="15"/>
  <c r="CA12" i="15"/>
  <c r="CB12" i="15"/>
  <c r="CC12" i="15"/>
  <c r="CD12" i="15"/>
  <c r="CE12" i="15"/>
  <c r="CF12" i="15"/>
  <c r="CG12" i="15"/>
  <c r="CH12" i="15"/>
  <c r="CI12" i="15"/>
  <c r="CJ12" i="15"/>
  <c r="CK12" i="15"/>
  <c r="CL12" i="15"/>
  <c r="CM12" i="15"/>
  <c r="CN12" i="15"/>
  <c r="CO12" i="15"/>
  <c r="CP12" i="15"/>
  <c r="CQ12" i="15"/>
  <c r="CR12" i="15"/>
  <c r="CS12" i="15"/>
  <c r="CT12" i="15"/>
  <c r="CU12" i="15"/>
  <c r="CV12" i="15"/>
  <c r="CW12" i="15"/>
  <c r="CX12" i="15"/>
  <c r="CY12" i="15"/>
  <c r="CZ12" i="15"/>
  <c r="DA12" i="15"/>
  <c r="DB12" i="15"/>
  <c r="DC12" i="15"/>
  <c r="DD12" i="15"/>
  <c r="DE12" i="15"/>
  <c r="DF12" i="15"/>
  <c r="DG12" i="15"/>
  <c r="DH12" i="15"/>
  <c r="DI12" i="15"/>
  <c r="DJ12" i="15"/>
  <c r="DK12" i="15"/>
  <c r="DL12" i="15"/>
  <c r="DM12" i="15"/>
  <c r="DN12" i="15"/>
  <c r="DO12" i="15"/>
  <c r="DP12" i="15"/>
  <c r="DQ12" i="15"/>
  <c r="DR12" i="15"/>
  <c r="DS12" i="15"/>
  <c r="DT12" i="15"/>
  <c r="DU12" i="15"/>
  <c r="DV12" i="15"/>
  <c r="DW12" i="15"/>
  <c r="DX12" i="15"/>
  <c r="DY12" i="15"/>
  <c r="DZ12" i="15"/>
  <c r="EA12" i="15"/>
  <c r="EB12" i="15"/>
  <c r="EC12" i="15"/>
  <c r="ED12" i="15"/>
  <c r="D10" i="15" l="1"/>
  <c r="E10" i="15"/>
  <c r="F10" i="15"/>
  <c r="G10" i="15"/>
  <c r="H10" i="15"/>
  <c r="I10" i="15"/>
  <c r="J10" i="15"/>
  <c r="K10" i="15"/>
  <c r="L10" i="15"/>
  <c r="M10" i="15"/>
  <c r="N10" i="15"/>
  <c r="D12" i="15"/>
  <c r="E12" i="15"/>
  <c r="F12" i="15"/>
  <c r="G12" i="15"/>
  <c r="H12" i="15"/>
  <c r="I12" i="15"/>
  <c r="J12" i="15"/>
  <c r="K12" i="15"/>
  <c r="L12" i="15"/>
  <c r="M12" i="15"/>
  <c r="N12" i="15"/>
  <c r="C10" i="15"/>
  <c r="C12" i="15"/>
  <c r="C28" i="7"/>
  <c r="Q8" i="4" l="1"/>
  <c r="P8" i="4"/>
  <c r="O8" i="4"/>
  <c r="N8" i="4"/>
  <c r="Q4" i="4"/>
  <c r="Q5" i="4"/>
  <c r="Q6" i="4"/>
  <c r="Q7" i="4"/>
  <c r="P4" i="4"/>
  <c r="P5" i="4"/>
  <c r="P6" i="4"/>
  <c r="P7" i="4"/>
  <c r="O4" i="4"/>
  <c r="O5" i="4"/>
  <c r="O6" i="4"/>
  <c r="O7" i="4"/>
  <c r="N4" i="4"/>
  <c r="N5" i="4"/>
  <c r="N6" i="4"/>
  <c r="N7" i="4"/>
  <c r="M4" i="4"/>
  <c r="M5" i="4"/>
  <c r="M6" i="4"/>
  <c r="M7" i="4"/>
  <c r="L4" i="4"/>
  <c r="L5" i="4"/>
  <c r="L6" i="4"/>
  <c r="L7" i="4"/>
  <c r="K4" i="4"/>
  <c r="K5" i="4"/>
  <c r="K6" i="4"/>
  <c r="K7" i="4"/>
  <c r="M8" i="4"/>
  <c r="L8" i="4"/>
  <c r="K8" i="4"/>
  <c r="J8" i="4"/>
  <c r="I4" i="4"/>
  <c r="I5" i="4"/>
  <c r="I6" i="4"/>
  <c r="I7" i="4"/>
  <c r="J7" i="4" s="1"/>
  <c r="I8" i="4"/>
  <c r="J4" i="4"/>
  <c r="J5" i="4"/>
  <c r="J6" i="4"/>
  <c r="H8" i="4"/>
  <c r="H27" i="17" l="1"/>
  <c r="Q4" i="10"/>
  <c r="D15" i="1" l="1" a="1"/>
  <c r="D15" i="1" s="1"/>
  <c r="C15" i="1" a="1"/>
  <c r="C15" i="1"/>
  <c r="D16" i="1"/>
  <c r="E16" i="1"/>
  <c r="F16" i="1"/>
  <c r="G16" i="1"/>
  <c r="H16" i="1"/>
  <c r="I16" i="1"/>
  <c r="J16" i="1"/>
  <c r="K16" i="1"/>
  <c r="L16" i="1"/>
  <c r="M16" i="1"/>
  <c r="N16" i="1"/>
  <c r="C16" i="1"/>
  <c r="D18" i="1"/>
  <c r="E18" i="1"/>
  <c r="C18" i="1"/>
  <c r="D20" i="1"/>
  <c r="E20" i="1"/>
  <c r="F20" i="1"/>
  <c r="G20" i="1"/>
  <c r="H20" i="1"/>
  <c r="I20" i="1"/>
  <c r="J20" i="1"/>
  <c r="K20" i="1"/>
  <c r="L20" i="1"/>
  <c r="M20" i="1"/>
  <c r="N20" i="1"/>
  <c r="C20" i="1"/>
  <c r="C22" i="1"/>
  <c r="G4" i="17"/>
  <c r="F2" i="17"/>
  <c r="AB40" i="17"/>
  <c r="AA40" i="17"/>
  <c r="Z40" i="17"/>
  <c r="AG39" i="17"/>
  <c r="AG40" i="17" s="1"/>
  <c r="AF39" i="17"/>
  <c r="AF40" i="17" s="1"/>
  <c r="AE39" i="17"/>
  <c r="AE40" i="17" s="1"/>
  <c r="AD39" i="17"/>
  <c r="AD40" i="17" s="1"/>
  <c r="AC39" i="17"/>
  <c r="AC40" i="17" s="1"/>
  <c r="AB39" i="17"/>
  <c r="AA39" i="17"/>
  <c r="Z39" i="17"/>
  <c r="AL38" i="17"/>
  <c r="AL37" i="17"/>
  <c r="AE30" i="17"/>
  <c r="AC30" i="17"/>
  <c r="AK29" i="17"/>
  <c r="AK30" i="17" s="1"/>
  <c r="AJ29" i="17"/>
  <c r="AJ30" i="17" s="1"/>
  <c r="AI29" i="17"/>
  <c r="AI30" i="17" s="1"/>
  <c r="AH29" i="17"/>
  <c r="AH30" i="17" s="1"/>
  <c r="AG29" i="17"/>
  <c r="AG30" i="17" s="1"/>
  <c r="AF29" i="17"/>
  <c r="AF30" i="17" s="1"/>
  <c r="AE29" i="17"/>
  <c r="AD29" i="17"/>
  <c r="AD30" i="17" s="1"/>
  <c r="AC29" i="17"/>
  <c r="AB29" i="17"/>
  <c r="AB30" i="17" s="1"/>
  <c r="AA29" i="17"/>
  <c r="AA30" i="17" s="1"/>
  <c r="Z29" i="17"/>
  <c r="Z30" i="17" s="1"/>
  <c r="AL28" i="17"/>
  <c r="AL27" i="17"/>
  <c r="AL19" i="17"/>
  <c r="AL18" i="17"/>
  <c r="AL17" i="17"/>
  <c r="AL9" i="17"/>
  <c r="AL8" i="17"/>
  <c r="AL7" i="17"/>
  <c r="G9" i="17" a="1"/>
  <c r="G9" i="17" s="1"/>
  <c r="H9" i="17" s="1"/>
  <c r="AL39" i="17" l="1"/>
  <c r="AL40" i="17" s="1"/>
  <c r="AL29" i="17"/>
  <c r="AL30" i="17" s="1"/>
  <c r="Q10" i="3" l="1"/>
  <c r="Q9" i="10"/>
  <c r="Q4" i="6"/>
  <c r="E13" i="1"/>
  <c r="F13" i="1"/>
  <c r="G13" i="1"/>
  <c r="H13" i="1"/>
  <c r="I13" i="1"/>
  <c r="J13" i="1"/>
  <c r="K13" i="1"/>
  <c r="L13" i="1"/>
  <c r="M13" i="1"/>
  <c r="N13" i="1"/>
  <c r="D13" i="1"/>
  <c r="E7" i="16" l="1"/>
  <c r="F7" i="16"/>
  <c r="G7" i="16"/>
  <c r="H7" i="16"/>
  <c r="I7" i="16"/>
  <c r="J7" i="16"/>
  <c r="K7" i="16"/>
  <c r="K17" i="16" s="1"/>
  <c r="L7" i="16"/>
  <c r="L17" i="16" s="1"/>
  <c r="M7" i="16"/>
  <c r="M17" i="16" s="1"/>
  <c r="N7" i="16"/>
  <c r="N17" i="16" s="1"/>
  <c r="E8" i="16"/>
  <c r="F8" i="16"/>
  <c r="G8" i="16"/>
  <c r="H8" i="16"/>
  <c r="I8" i="16"/>
  <c r="J8" i="16"/>
  <c r="J18" i="16" s="1"/>
  <c r="K8" i="16"/>
  <c r="K18" i="16" s="1"/>
  <c r="L8" i="16"/>
  <c r="L18" i="16" s="1"/>
  <c r="M8" i="16"/>
  <c r="M18" i="16" s="1"/>
  <c r="N8" i="16"/>
  <c r="N18" i="16" s="1"/>
  <c r="D7" i="16"/>
  <c r="D17" i="16" s="1"/>
  <c r="D8" i="16"/>
  <c r="N6" i="16"/>
  <c r="M6" i="16"/>
  <c r="L6" i="16"/>
  <c r="K6" i="16"/>
  <c r="J6" i="16"/>
  <c r="I6" i="16"/>
  <c r="H6" i="16"/>
  <c r="K16" i="16"/>
  <c r="L16" i="16"/>
  <c r="M16" i="16"/>
  <c r="N16" i="16"/>
  <c r="G6" i="16"/>
  <c r="F6" i="16"/>
  <c r="I16" i="16"/>
  <c r="J16" i="16"/>
  <c r="E6" i="16"/>
  <c r="H16" i="16"/>
  <c r="D6" i="16"/>
  <c r="E5" i="16"/>
  <c r="E9" i="16" s="1"/>
  <c r="E19" i="16" s="1"/>
  <c r="E4" i="1" s="1"/>
  <c r="H2" i="17" s="1"/>
  <c r="F5" i="16"/>
  <c r="F9" i="16" s="1"/>
  <c r="F19" i="16" s="1"/>
  <c r="F4" i="1" s="1"/>
  <c r="I2" i="17" s="1"/>
  <c r="G5" i="16"/>
  <c r="G9" i="16" s="1"/>
  <c r="G19" i="16" s="1"/>
  <c r="G4" i="1" s="1"/>
  <c r="J2" i="17" s="1"/>
  <c r="H5" i="16"/>
  <c r="H15" i="16" s="1"/>
  <c r="I5" i="16"/>
  <c r="I15" i="16" s="1"/>
  <c r="J5" i="16"/>
  <c r="J15" i="16" s="1"/>
  <c r="K5" i="16"/>
  <c r="K15" i="16" s="1"/>
  <c r="L5" i="16"/>
  <c r="L15" i="16" s="1"/>
  <c r="M5" i="16"/>
  <c r="M15" i="16" s="1"/>
  <c r="N5" i="16"/>
  <c r="D5" i="16"/>
  <c r="D9" i="16" s="1"/>
  <c r="D19" i="16" s="1"/>
  <c r="D4" i="1" s="1"/>
  <c r="G2" i="17" s="1"/>
  <c r="I18" i="16"/>
  <c r="H18" i="16"/>
  <c r="G18" i="16"/>
  <c r="F18" i="16"/>
  <c r="E18" i="16"/>
  <c r="D18" i="16"/>
  <c r="J17" i="16"/>
  <c r="I17" i="16"/>
  <c r="H17" i="16"/>
  <c r="G17" i="16"/>
  <c r="F17" i="16"/>
  <c r="E17" i="16"/>
  <c r="G16" i="16"/>
  <c r="F16" i="16"/>
  <c r="E16" i="16"/>
  <c r="D16" i="16"/>
  <c r="B9" i="16"/>
  <c r="E5" i="14"/>
  <c r="E15" i="14" s="1"/>
  <c r="F5" i="14"/>
  <c r="F9" i="14" s="1"/>
  <c r="F19" i="14" s="1"/>
  <c r="G5" i="14"/>
  <c r="G9" i="14" s="1"/>
  <c r="G19" i="14" s="1"/>
  <c r="H5" i="14"/>
  <c r="H15" i="14" s="1"/>
  <c r="I5" i="14"/>
  <c r="I9" i="14" s="1"/>
  <c r="I19" i="14" s="1"/>
  <c r="J5" i="14"/>
  <c r="J15" i="14" s="1"/>
  <c r="K5" i="14"/>
  <c r="K15" i="14" s="1"/>
  <c r="L5" i="14"/>
  <c r="L15" i="14" s="1"/>
  <c r="M5" i="14"/>
  <c r="M9" i="14" s="1"/>
  <c r="M19" i="14" s="1"/>
  <c r="N5" i="14"/>
  <c r="N9" i="14" s="1"/>
  <c r="N19" i="14" s="1"/>
  <c r="O5" i="14"/>
  <c r="O15" i="14" s="1"/>
  <c r="P5" i="14"/>
  <c r="P15" i="14" s="1"/>
  <c r="Q5" i="14"/>
  <c r="Q9" i="14" s="1"/>
  <c r="Q19" i="14" s="1"/>
  <c r="R5" i="14"/>
  <c r="R9" i="14" s="1"/>
  <c r="R19" i="14" s="1"/>
  <c r="S5" i="14"/>
  <c r="S15" i="14" s="1"/>
  <c r="T5" i="14"/>
  <c r="T15" i="14" s="1"/>
  <c r="U5" i="14"/>
  <c r="U15" i="14" s="1"/>
  <c r="V5" i="14"/>
  <c r="V9" i="14" s="1"/>
  <c r="V19" i="14" s="1"/>
  <c r="W5" i="14"/>
  <c r="W9" i="14" s="1"/>
  <c r="W19" i="14" s="1"/>
  <c r="X5" i="14"/>
  <c r="X9" i="14" s="1"/>
  <c r="X19" i="14" s="1"/>
  <c r="Y5" i="14"/>
  <c r="Y15" i="14" s="1"/>
  <c r="Z5" i="14"/>
  <c r="Z15" i="14" s="1"/>
  <c r="AA5" i="14"/>
  <c r="AA15" i="14" s="1"/>
  <c r="AB5" i="14"/>
  <c r="AB9" i="14" s="1"/>
  <c r="AB19" i="14" s="1"/>
  <c r="AC5" i="14"/>
  <c r="AC9" i="14" s="1"/>
  <c r="AC19" i="14" s="1"/>
  <c r="AD5" i="14"/>
  <c r="AD15" i="14" s="1"/>
  <c r="AE5" i="14"/>
  <c r="AE15" i="14" s="1"/>
  <c r="AF5" i="14"/>
  <c r="AF9" i="14" s="1"/>
  <c r="AF19" i="14" s="1"/>
  <c r="AG5" i="14"/>
  <c r="AG9" i="14" s="1"/>
  <c r="AG19" i="14" s="1"/>
  <c r="AH5" i="14"/>
  <c r="AH9" i="14" s="1"/>
  <c r="AH19" i="14" s="1"/>
  <c r="AI5" i="14"/>
  <c r="AI15" i="14" s="1"/>
  <c r="AJ5" i="14"/>
  <c r="AJ15" i="14" s="1"/>
  <c r="AK5" i="14"/>
  <c r="AK15" i="14" s="1"/>
  <c r="AL5" i="14"/>
  <c r="AL15" i="14" s="1"/>
  <c r="AM5" i="14"/>
  <c r="AM9" i="14" s="1"/>
  <c r="AM19" i="14" s="1"/>
  <c r="AN5" i="14"/>
  <c r="AN15" i="14" s="1"/>
  <c r="AO5" i="14"/>
  <c r="AO15" i="14" s="1"/>
  <c r="AP5" i="14"/>
  <c r="AP9" i="14" s="1"/>
  <c r="AP19" i="14" s="1"/>
  <c r="AQ5" i="14"/>
  <c r="AQ15" i="14" s="1"/>
  <c r="AR5" i="14"/>
  <c r="AR15" i="14" s="1"/>
  <c r="AS5" i="14"/>
  <c r="AS15" i="14" s="1"/>
  <c r="AT5" i="14"/>
  <c r="AT9" i="14" s="1"/>
  <c r="AT19" i="14" s="1"/>
  <c r="AU5" i="14"/>
  <c r="AU15" i="14" s="1"/>
  <c r="AV5" i="14"/>
  <c r="AV15" i="14" s="1"/>
  <c r="AW5" i="14"/>
  <c r="AW9" i="14" s="1"/>
  <c r="AW19" i="14" s="1"/>
  <c r="AX5" i="14"/>
  <c r="AX15" i="14" s="1"/>
  <c r="AY5" i="14"/>
  <c r="AY15" i="14" s="1"/>
  <c r="AZ5" i="14"/>
  <c r="AZ15" i="14" s="1"/>
  <c r="BA5" i="14"/>
  <c r="BA9" i="14" s="1"/>
  <c r="BA19" i="14" s="1"/>
  <c r="BB5" i="14"/>
  <c r="BB9" i="14" s="1"/>
  <c r="BB19" i="14" s="1"/>
  <c r="BC5" i="14"/>
  <c r="BC15" i="14" s="1"/>
  <c r="BD5" i="14"/>
  <c r="BD9" i="14" s="1"/>
  <c r="BD19" i="14" s="1"/>
  <c r="BE5" i="14"/>
  <c r="BE9" i="14" s="1"/>
  <c r="BE19" i="14" s="1"/>
  <c r="BF5" i="14"/>
  <c r="BF9" i="14" s="1"/>
  <c r="BF19" i="14" s="1"/>
  <c r="BG5" i="14"/>
  <c r="BG15" i="14" s="1"/>
  <c r="BH5" i="14"/>
  <c r="BH15" i="14" s="1"/>
  <c r="BI5" i="14"/>
  <c r="BI15" i="14" s="1"/>
  <c r="BJ5" i="14"/>
  <c r="BJ15" i="14" s="1"/>
  <c r="BK5" i="14"/>
  <c r="BK9" i="14" s="1"/>
  <c r="BK19" i="14" s="1"/>
  <c r="BL5" i="14"/>
  <c r="BL9" i="14" s="1"/>
  <c r="BL19" i="14" s="1"/>
  <c r="BM5" i="14"/>
  <c r="BM9" i="14" s="1"/>
  <c r="BM19" i="14" s="1"/>
  <c r="BN5" i="14"/>
  <c r="BN9" i="14" s="1"/>
  <c r="BN19" i="14" s="1"/>
  <c r="BO5" i="14"/>
  <c r="BO9" i="14" s="1"/>
  <c r="BO19" i="14" s="1"/>
  <c r="BP5" i="14"/>
  <c r="BP9" i="14" s="1"/>
  <c r="BP19" i="14" s="1"/>
  <c r="BQ5" i="14"/>
  <c r="BQ15" i="14" s="1"/>
  <c r="BR5" i="14"/>
  <c r="BR15" i="14" s="1"/>
  <c r="BS5" i="14"/>
  <c r="BS15" i="14" s="1"/>
  <c r="BT5" i="14"/>
  <c r="BT9" i="14" s="1"/>
  <c r="BT19" i="14" s="1"/>
  <c r="BU5" i="14"/>
  <c r="BU9" i="14" s="1"/>
  <c r="BU19" i="14" s="1"/>
  <c r="BV5" i="14"/>
  <c r="BV9" i="14" s="1"/>
  <c r="BV19" i="14" s="1"/>
  <c r="BW5" i="14"/>
  <c r="BW15" i="14" s="1"/>
  <c r="BX5" i="14"/>
  <c r="BX15" i="14" s="1"/>
  <c r="BY5" i="14"/>
  <c r="BY15" i="14" s="1"/>
  <c r="BZ5" i="14"/>
  <c r="BZ9" i="14" s="1"/>
  <c r="BZ19" i="14" s="1"/>
  <c r="CA5" i="14"/>
  <c r="CA15" i="14" s="1"/>
  <c r="CB5" i="14"/>
  <c r="CB15" i="14" s="1"/>
  <c r="CC5" i="14"/>
  <c r="CC15" i="14" s="1"/>
  <c r="CD5" i="14"/>
  <c r="CD9" i="14" s="1"/>
  <c r="CD19" i="14" s="1"/>
  <c r="CE5" i="14"/>
  <c r="CE9" i="14" s="1"/>
  <c r="CE19" i="14" s="1"/>
  <c r="CF5" i="14"/>
  <c r="CF9" i="14" s="1"/>
  <c r="CF19" i="14" s="1"/>
  <c r="CG5" i="14"/>
  <c r="CG15" i="14" s="1"/>
  <c r="CH5" i="14"/>
  <c r="CH15" i="14" s="1"/>
  <c r="CI5" i="14"/>
  <c r="CI15" i="14" s="1"/>
  <c r="CJ5" i="14"/>
  <c r="CJ15" i="14" s="1"/>
  <c r="CK5" i="14"/>
  <c r="CK15" i="14" s="1"/>
  <c r="CL5" i="14"/>
  <c r="CL15" i="14" s="1"/>
  <c r="CM5" i="14"/>
  <c r="CM15" i="14" s="1"/>
  <c r="CN5" i="14"/>
  <c r="CN9" i="14" s="1"/>
  <c r="CN19" i="14" s="1"/>
  <c r="CO5" i="14"/>
  <c r="CO9" i="14" s="1"/>
  <c r="CO19" i="14" s="1"/>
  <c r="CP5" i="14"/>
  <c r="CP9" i="14" s="1"/>
  <c r="CP19" i="14" s="1"/>
  <c r="CQ5" i="14"/>
  <c r="CQ9" i="14" s="1"/>
  <c r="CQ19" i="14" s="1"/>
  <c r="CR5" i="14"/>
  <c r="CR9" i="14" s="1"/>
  <c r="CR19" i="14" s="1"/>
  <c r="CS5" i="14"/>
  <c r="CS15" i="14" s="1"/>
  <c r="CT5" i="14"/>
  <c r="CT9" i="14" s="1"/>
  <c r="CT19" i="14" s="1"/>
  <c r="CU5" i="14"/>
  <c r="CU15" i="14" s="1"/>
  <c r="CV5" i="14"/>
  <c r="CV15" i="14" s="1"/>
  <c r="CW5" i="14"/>
  <c r="CW15" i="14" s="1"/>
  <c r="CX5" i="14"/>
  <c r="CX15" i="14" s="1"/>
  <c r="CY5" i="14"/>
  <c r="CY9" i="14" s="1"/>
  <c r="CY19" i="14" s="1"/>
  <c r="CZ5" i="14"/>
  <c r="CZ9" i="14" s="1"/>
  <c r="CZ19" i="14" s="1"/>
  <c r="DA5" i="14"/>
  <c r="DA9" i="14" s="1"/>
  <c r="DA19" i="14" s="1"/>
  <c r="DB5" i="14"/>
  <c r="DB9" i="14" s="1"/>
  <c r="DB19" i="14" s="1"/>
  <c r="DC5" i="14"/>
  <c r="DC9" i="14" s="1"/>
  <c r="DC19" i="14" s="1"/>
  <c r="DD5" i="14"/>
  <c r="DD9" i="14" s="1"/>
  <c r="DD19" i="14" s="1"/>
  <c r="DE5" i="14"/>
  <c r="DE9" i="14" s="1"/>
  <c r="DE19" i="14" s="1"/>
  <c r="DF5" i="14"/>
  <c r="DF15" i="14" s="1"/>
  <c r="DG5" i="14"/>
  <c r="DG15" i="14" s="1"/>
  <c r="DH5" i="14"/>
  <c r="DH15" i="14" s="1"/>
  <c r="DI5" i="14"/>
  <c r="DI9" i="14" s="1"/>
  <c r="DI19" i="14" s="1"/>
  <c r="DJ5" i="14"/>
  <c r="DJ15" i="14" s="1"/>
  <c r="DK5" i="14"/>
  <c r="DK15" i="14" s="1"/>
  <c r="DL5" i="14"/>
  <c r="DL15" i="14" s="1"/>
  <c r="DM5" i="14"/>
  <c r="DM15" i="14" s="1"/>
  <c r="DN5" i="14"/>
  <c r="DN9" i="14" s="1"/>
  <c r="DN19" i="14" s="1"/>
  <c r="DO5" i="14"/>
  <c r="DO9" i="14" s="1"/>
  <c r="DO19" i="14" s="1"/>
  <c r="DP5" i="14"/>
  <c r="DP15" i="14" s="1"/>
  <c r="DQ5" i="14"/>
  <c r="DQ15" i="14" s="1"/>
  <c r="DR5" i="14"/>
  <c r="DR9" i="14" s="1"/>
  <c r="DR19" i="14" s="1"/>
  <c r="DS5" i="14"/>
  <c r="DS9" i="14" s="1"/>
  <c r="DS19" i="14" s="1"/>
  <c r="DT5" i="14"/>
  <c r="DT9" i="14" s="1"/>
  <c r="DT19" i="14" s="1"/>
  <c r="DU5" i="14"/>
  <c r="DU15" i="14" s="1"/>
  <c r="DV5" i="14"/>
  <c r="DV15" i="14" s="1"/>
  <c r="DW5" i="14"/>
  <c r="DW15" i="14" s="1"/>
  <c r="DX5" i="14"/>
  <c r="DX9" i="14" s="1"/>
  <c r="DX19" i="14" s="1"/>
  <c r="DY5" i="14"/>
  <c r="DY9" i="14" s="1"/>
  <c r="DY19" i="14" s="1"/>
  <c r="DZ5" i="14"/>
  <c r="DZ15" i="14" s="1"/>
  <c r="EA5" i="14"/>
  <c r="EA15" i="14" s="1"/>
  <c r="EB5" i="14"/>
  <c r="EB9" i="14" s="1"/>
  <c r="EB19" i="14" s="1"/>
  <c r="EC5" i="14"/>
  <c r="EC9" i="14" s="1"/>
  <c r="EC19" i="14" s="1"/>
  <c r="ED5" i="14"/>
  <c r="ED9" i="14" s="1"/>
  <c r="ED19" i="14" s="1"/>
  <c r="EE5" i="14"/>
  <c r="EE15" i="14" s="1"/>
  <c r="D5" i="14"/>
  <c r="D15" i="14" s="1"/>
  <c r="B9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CA16" i="14"/>
  <c r="CB16" i="14"/>
  <c r="CC16" i="14"/>
  <c r="CD16" i="14"/>
  <c r="CE16" i="14"/>
  <c r="CF16" i="14"/>
  <c r="CG16" i="14"/>
  <c r="CH16" i="14"/>
  <c r="CI16" i="14"/>
  <c r="CJ16" i="14"/>
  <c r="CK16" i="14"/>
  <c r="CL16" i="14"/>
  <c r="CM16" i="14"/>
  <c r="CN16" i="14"/>
  <c r="CO16" i="14"/>
  <c r="CP16" i="14"/>
  <c r="CQ16" i="14"/>
  <c r="CR16" i="14"/>
  <c r="CS16" i="14"/>
  <c r="CT16" i="14"/>
  <c r="CU16" i="14"/>
  <c r="CV16" i="14"/>
  <c r="CW16" i="14"/>
  <c r="CX16" i="14"/>
  <c r="CY16" i="14"/>
  <c r="CZ16" i="14"/>
  <c r="DA16" i="14"/>
  <c r="DB16" i="14"/>
  <c r="DC16" i="14"/>
  <c r="DD16" i="14"/>
  <c r="DE16" i="14"/>
  <c r="DF16" i="14"/>
  <c r="DG16" i="14"/>
  <c r="DH16" i="14"/>
  <c r="DI16" i="14"/>
  <c r="DJ16" i="14"/>
  <c r="DK16" i="14"/>
  <c r="DL16" i="14"/>
  <c r="DM16" i="14"/>
  <c r="DN16" i="14"/>
  <c r="DO16" i="14"/>
  <c r="DP16" i="14"/>
  <c r="DQ16" i="14"/>
  <c r="DR16" i="14"/>
  <c r="DS16" i="14"/>
  <c r="DT16" i="14"/>
  <c r="DU16" i="14"/>
  <c r="DV16" i="14"/>
  <c r="DW16" i="14"/>
  <c r="DX16" i="14"/>
  <c r="DY16" i="14"/>
  <c r="DZ16" i="14"/>
  <c r="EA16" i="14"/>
  <c r="EB16" i="14"/>
  <c r="EC16" i="14"/>
  <c r="ED16" i="14"/>
  <c r="EE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CA17" i="14"/>
  <c r="CB17" i="14"/>
  <c r="CC17" i="14"/>
  <c r="CD17" i="14"/>
  <c r="CE17" i="14"/>
  <c r="CF17" i="14"/>
  <c r="CG17" i="14"/>
  <c r="CH17" i="14"/>
  <c r="CI17" i="14"/>
  <c r="CJ17" i="14"/>
  <c r="CK17" i="14"/>
  <c r="CL17" i="14"/>
  <c r="CM17" i="14"/>
  <c r="CN17" i="14"/>
  <c r="CO17" i="14"/>
  <c r="CP17" i="14"/>
  <c r="CQ17" i="14"/>
  <c r="CR17" i="14"/>
  <c r="CS17" i="14"/>
  <c r="CT17" i="14"/>
  <c r="CU17" i="14"/>
  <c r="CV17" i="14"/>
  <c r="CW17" i="14"/>
  <c r="CX17" i="14"/>
  <c r="CY17" i="14"/>
  <c r="CZ17" i="14"/>
  <c r="DA17" i="14"/>
  <c r="DB17" i="14"/>
  <c r="DC17" i="14"/>
  <c r="DD17" i="14"/>
  <c r="DE17" i="14"/>
  <c r="DF17" i="14"/>
  <c r="DG17" i="14"/>
  <c r="DH17" i="14"/>
  <c r="DI17" i="14"/>
  <c r="DJ17" i="14"/>
  <c r="DK17" i="14"/>
  <c r="DL17" i="14"/>
  <c r="DM17" i="14"/>
  <c r="DN17" i="14"/>
  <c r="DO17" i="14"/>
  <c r="DP17" i="14"/>
  <c r="DQ17" i="14"/>
  <c r="DR17" i="14"/>
  <c r="DS17" i="14"/>
  <c r="DT17" i="14"/>
  <c r="DU17" i="14"/>
  <c r="DV17" i="14"/>
  <c r="DW17" i="14"/>
  <c r="DX17" i="14"/>
  <c r="DY17" i="14"/>
  <c r="DZ17" i="14"/>
  <c r="EA17" i="14"/>
  <c r="EB17" i="14"/>
  <c r="EC17" i="14"/>
  <c r="ED17" i="14"/>
  <c r="EE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CA18" i="14"/>
  <c r="CB18" i="14"/>
  <c r="CC18" i="14"/>
  <c r="CD18" i="14"/>
  <c r="CE18" i="14"/>
  <c r="CF18" i="14"/>
  <c r="CG18" i="14"/>
  <c r="CH18" i="14"/>
  <c r="CI18" i="14"/>
  <c r="CJ18" i="14"/>
  <c r="CK18" i="14"/>
  <c r="CL18" i="14"/>
  <c r="CM18" i="14"/>
  <c r="CN18" i="14"/>
  <c r="CO18" i="14"/>
  <c r="CP18" i="14"/>
  <c r="CQ18" i="14"/>
  <c r="CR18" i="14"/>
  <c r="CS18" i="14"/>
  <c r="CT18" i="14"/>
  <c r="CU18" i="14"/>
  <c r="CV18" i="14"/>
  <c r="CW18" i="14"/>
  <c r="CX18" i="14"/>
  <c r="CY18" i="14"/>
  <c r="CZ18" i="14"/>
  <c r="DA18" i="14"/>
  <c r="DB18" i="14"/>
  <c r="DC18" i="14"/>
  <c r="DD18" i="14"/>
  <c r="DE18" i="14"/>
  <c r="DF18" i="14"/>
  <c r="DG18" i="14"/>
  <c r="DH18" i="14"/>
  <c r="DI18" i="14"/>
  <c r="DJ18" i="14"/>
  <c r="DK18" i="14"/>
  <c r="DL18" i="14"/>
  <c r="DM18" i="14"/>
  <c r="DN18" i="14"/>
  <c r="DO18" i="14"/>
  <c r="DP18" i="14"/>
  <c r="DQ18" i="14"/>
  <c r="DR18" i="14"/>
  <c r="DS18" i="14"/>
  <c r="DT18" i="14"/>
  <c r="DU18" i="14"/>
  <c r="DV18" i="14"/>
  <c r="DW18" i="14"/>
  <c r="DX18" i="14"/>
  <c r="DY18" i="14"/>
  <c r="DZ18" i="14"/>
  <c r="EA18" i="14"/>
  <c r="EB18" i="14"/>
  <c r="EC18" i="14"/>
  <c r="ED18" i="14"/>
  <c r="EE18" i="14"/>
  <c r="D18" i="14"/>
  <c r="D17" i="14"/>
  <c r="D16" i="14"/>
  <c r="H4" i="17" l="1"/>
  <c r="E15" i="1" s="1" a="1"/>
  <c r="E15" i="1" s="1"/>
  <c r="CG9" i="14"/>
  <c r="CG19" i="14" s="1"/>
  <c r="F15" i="16"/>
  <c r="G15" i="16"/>
  <c r="BM15" i="14"/>
  <c r="DA15" i="14"/>
  <c r="DX15" i="14"/>
  <c r="BP15" i="14"/>
  <c r="BG9" i="14"/>
  <c r="BG19" i="14" s="1"/>
  <c r="DL9" i="14"/>
  <c r="DL19" i="14" s="1"/>
  <c r="DK9" i="14"/>
  <c r="DK19" i="14" s="1"/>
  <c r="AL9" i="14"/>
  <c r="AL19" i="14" s="1"/>
  <c r="DN15" i="14"/>
  <c r="BF15" i="14"/>
  <c r="AV9" i="14"/>
  <c r="AV19" i="14" s="1"/>
  <c r="AW15" i="14"/>
  <c r="CU9" i="14"/>
  <c r="CU19" i="14" s="1"/>
  <c r="DO15" i="14"/>
  <c r="CK9" i="14"/>
  <c r="CK19" i="14" s="1"/>
  <c r="DE15" i="14"/>
  <c r="BQ9" i="14"/>
  <c r="BQ19" i="14" s="1"/>
  <c r="CJ9" i="14"/>
  <c r="CJ19" i="14" s="1"/>
  <c r="AM15" i="14"/>
  <c r="CT15" i="14"/>
  <c r="AC15" i="14"/>
  <c r="AS9" i="14"/>
  <c r="AS19" i="14" s="1"/>
  <c r="BZ15" i="14"/>
  <c r="AB15" i="14"/>
  <c r="DY15" i="14"/>
  <c r="R15" i="14"/>
  <c r="DI15" i="14"/>
  <c r="DD15" i="14"/>
  <c r="CM9" i="14"/>
  <c r="CM19" i="14" s="1"/>
  <c r="CL9" i="14"/>
  <c r="CL19" i="14" s="1"/>
  <c r="H9" i="16"/>
  <c r="H19" i="16" s="1"/>
  <c r="H4" i="1" s="1"/>
  <c r="K2" i="17" s="1"/>
  <c r="N9" i="16"/>
  <c r="N19" i="16" s="1"/>
  <c r="N4" i="1" s="1"/>
  <c r="J9" i="16"/>
  <c r="J19" i="16" s="1"/>
  <c r="J4" i="1" s="1"/>
  <c r="M2" i="17" s="1"/>
  <c r="D15" i="16"/>
  <c r="N15" i="16"/>
  <c r="I9" i="16"/>
  <c r="I19" i="16" s="1"/>
  <c r="I4" i="1" s="1"/>
  <c r="L2" i="17" s="1"/>
  <c r="E15" i="16"/>
  <c r="K9" i="16"/>
  <c r="K19" i="16" s="1"/>
  <c r="K4" i="1" s="1"/>
  <c r="N2" i="17" s="1"/>
  <c r="L9" i="16"/>
  <c r="L19" i="16" s="1"/>
  <c r="L4" i="1" s="1"/>
  <c r="O2" i="17" s="1"/>
  <c r="M9" i="16"/>
  <c r="M19" i="16" s="1"/>
  <c r="M4" i="1" s="1"/>
  <c r="P2" i="17" s="1"/>
  <c r="CY15" i="14"/>
  <c r="AR9" i="14"/>
  <c r="AR19" i="14" s="1"/>
  <c r="AQ9" i="14"/>
  <c r="AQ19" i="14" s="1"/>
  <c r="DJ9" i="14"/>
  <c r="DJ19" i="14" s="1"/>
  <c r="CE15" i="14"/>
  <c r="CA9" i="14"/>
  <c r="CA19" i="14" s="1"/>
  <c r="I15" i="14"/>
  <c r="AK9" i="14"/>
  <c r="AK19" i="14" s="1"/>
  <c r="Q15" i="14"/>
  <c r="P9" i="14"/>
  <c r="P19" i="14" s="1"/>
  <c r="O9" i="14"/>
  <c r="O19" i="14" s="1"/>
  <c r="ED15" i="14"/>
  <c r="CR15" i="14"/>
  <c r="BD15" i="14"/>
  <c r="BY9" i="14"/>
  <c r="BY19" i="14" s="1"/>
  <c r="EC15" i="14"/>
  <c r="BX9" i="14"/>
  <c r="BX19" i="14" s="1"/>
  <c r="CP15" i="14"/>
  <c r="BB15" i="14"/>
  <c r="CO15" i="14"/>
  <c r="BA15" i="14"/>
  <c r="AG15" i="14"/>
  <c r="DM9" i="14"/>
  <c r="DM19" i="14" s="1"/>
  <c r="AO9" i="14"/>
  <c r="AO19" i="14" s="1"/>
  <c r="DW9" i="14"/>
  <c r="DW19" i="14" s="1"/>
  <c r="AJ9" i="14"/>
  <c r="AJ19" i="14" s="1"/>
  <c r="BE15" i="14"/>
  <c r="DV9" i="14"/>
  <c r="DV19" i="14" s="1"/>
  <c r="AI9" i="14"/>
  <c r="AI19" i="14" s="1"/>
  <c r="DU9" i="14"/>
  <c r="DU19" i="14" s="1"/>
  <c r="BC9" i="14"/>
  <c r="BC19" i="14" s="1"/>
  <c r="E9" i="14"/>
  <c r="E19" i="14" s="1"/>
  <c r="CQ15" i="14"/>
  <c r="BO15" i="14"/>
  <c r="AH15" i="14"/>
  <c r="F15" i="14"/>
  <c r="BW9" i="14"/>
  <c r="BW19" i="14" s="1"/>
  <c r="AA9" i="14"/>
  <c r="AA19" i="14" s="1"/>
  <c r="DC15" i="14"/>
  <c r="BN15" i="14"/>
  <c r="Z9" i="14"/>
  <c r="Z19" i="14" s="1"/>
  <c r="DB15" i="14"/>
  <c r="AN9" i="14"/>
  <c r="AN19" i="14" s="1"/>
  <c r="Y9" i="14"/>
  <c r="Y19" i="14" s="1"/>
  <c r="BL15" i="14"/>
  <c r="EE9" i="14"/>
  <c r="EE19" i="14" s="1"/>
  <c r="CI9" i="14"/>
  <c r="CI19" i="14" s="1"/>
  <c r="S9" i="14"/>
  <c r="S19" i="14" s="1"/>
  <c r="CZ15" i="14"/>
  <c r="CF15" i="14"/>
  <c r="BK15" i="14"/>
  <c r="AT15" i="14"/>
  <c r="CH9" i="14"/>
  <c r="CH19" i="14" s="1"/>
  <c r="H9" i="14"/>
  <c r="H19" i="14" s="1"/>
  <c r="M15" i="14"/>
  <c r="N15" i="14"/>
  <c r="D9" i="14"/>
  <c r="D19" i="14" s="1"/>
  <c r="G15" i="14"/>
  <c r="DR15" i="14"/>
  <c r="BT15" i="14"/>
  <c r="V15" i="14"/>
  <c r="CX9" i="14"/>
  <c r="CX19" i="14" s="1"/>
  <c r="AZ9" i="14"/>
  <c r="AZ19" i="14" s="1"/>
  <c r="EB15" i="14"/>
  <c r="CD15" i="14"/>
  <c r="AF15" i="14"/>
  <c r="CW9" i="14"/>
  <c r="CW19" i="14" s="1"/>
  <c r="AY9" i="14"/>
  <c r="AY19" i="14" s="1"/>
  <c r="DH9" i="14"/>
  <c r="DH19" i="14" s="1"/>
  <c r="CV9" i="14"/>
  <c r="CV19" i="14" s="1"/>
  <c r="BJ9" i="14"/>
  <c r="BJ19" i="14" s="1"/>
  <c r="AX9" i="14"/>
  <c r="AX19" i="14" s="1"/>
  <c r="L9" i="14"/>
  <c r="L19" i="14" s="1"/>
  <c r="CN15" i="14"/>
  <c r="AP15" i="14"/>
  <c r="DG9" i="14"/>
  <c r="DG19" i="14" s="1"/>
  <c r="BI9" i="14"/>
  <c r="BI19" i="14" s="1"/>
  <c r="K9" i="14"/>
  <c r="K19" i="14" s="1"/>
  <c r="DF9" i="14"/>
  <c r="DF19" i="14" s="1"/>
  <c r="BH9" i="14"/>
  <c r="BH19" i="14" s="1"/>
  <c r="J9" i="14"/>
  <c r="J19" i="14" s="1"/>
  <c r="DQ9" i="14"/>
  <c r="DQ19" i="14" s="1"/>
  <c r="CS9" i="14"/>
  <c r="CS19" i="14" s="1"/>
  <c r="BS9" i="14"/>
  <c r="BS19" i="14" s="1"/>
  <c r="AU9" i="14"/>
  <c r="AU19" i="14" s="1"/>
  <c r="U9" i="14"/>
  <c r="U19" i="14" s="1"/>
  <c r="DP9" i="14"/>
  <c r="DP19" i="14" s="1"/>
  <c r="BR9" i="14"/>
  <c r="BR19" i="14" s="1"/>
  <c r="T9" i="14"/>
  <c r="T19" i="14" s="1"/>
  <c r="DT15" i="14"/>
  <c r="BV15" i="14"/>
  <c r="X15" i="14"/>
  <c r="EA9" i="14"/>
  <c r="EA19" i="14" s="1"/>
  <c r="CC9" i="14"/>
  <c r="CC19" i="14" s="1"/>
  <c r="AE9" i="14"/>
  <c r="AE19" i="14" s="1"/>
  <c r="DS15" i="14"/>
  <c r="BU15" i="14"/>
  <c r="W15" i="14"/>
  <c r="DZ9" i="14"/>
  <c r="DZ19" i="14" s="1"/>
  <c r="CB9" i="14"/>
  <c r="CB19" i="14" s="1"/>
  <c r="AD9" i="14"/>
  <c r="AD19" i="14" s="1"/>
  <c r="Q2" i="4" l="1"/>
  <c r="Q2" i="17"/>
  <c r="I4" i="17"/>
  <c r="BV20" i="14"/>
  <c r="EA20" i="14"/>
  <c r="AE20" i="14"/>
  <c r="BU20" i="14"/>
  <c r="CR20" i="14"/>
  <c r="BO20" i="14"/>
  <c r="BW20" i="14"/>
  <c r="BN20" i="14"/>
  <c r="BS20" i="14"/>
  <c r="DX20" i="14"/>
  <c r="CN20" i="14"/>
  <c r="CQ20" i="14"/>
  <c r="AU20" i="14"/>
  <c r="AR20" i="14"/>
  <c r="AV20" i="14"/>
  <c r="AO20" i="14"/>
  <c r="AW20" i="14"/>
  <c r="AX20" i="14"/>
  <c r="AY20" i="14"/>
  <c r="AP20" i="14"/>
  <c r="AQ20" i="14"/>
  <c r="AS20" i="14"/>
  <c r="AT20" i="14"/>
  <c r="AN20" i="14"/>
  <c r="AG20" i="14"/>
  <c r="AK20" i="14"/>
  <c r="AC20" i="14"/>
  <c r="AL20" i="14"/>
  <c r="AM20" i="14"/>
  <c r="AJ20" i="14"/>
  <c r="AB20" i="14"/>
  <c r="AF20" i="14"/>
  <c r="AD20" i="14"/>
  <c r="BI20" i="14"/>
  <c r="BD20" i="14"/>
  <c r="BJ20" i="14"/>
  <c r="BF20" i="14"/>
  <c r="BA20" i="14"/>
  <c r="BK20" i="14"/>
  <c r="BB20" i="14"/>
  <c r="AZ20" i="14"/>
  <c r="BC20" i="14"/>
  <c r="BG20" i="14"/>
  <c r="BH20" i="14"/>
  <c r="BE20" i="14"/>
  <c r="DZ20" i="14"/>
  <c r="DY20" i="14"/>
  <c r="S20" i="14"/>
  <c r="X20" i="14"/>
  <c r="Z20" i="14"/>
  <c r="T20" i="14"/>
  <c r="U20" i="14"/>
  <c r="V20" i="14"/>
  <c r="Q20" i="14"/>
  <c r="AA20" i="14"/>
  <c r="R20" i="14"/>
  <c r="P20" i="14"/>
  <c r="W20" i="14"/>
  <c r="Y20" i="14"/>
  <c r="AI20" i="14"/>
  <c r="DW20" i="14"/>
  <c r="DT20" i="14"/>
  <c r="BR20" i="14"/>
  <c r="BM20" i="14"/>
  <c r="CA20" i="14"/>
  <c r="CF20" i="14"/>
  <c r="CG20" i="14"/>
  <c r="CH20" i="14"/>
  <c r="CB20" i="14"/>
  <c r="CC20" i="14"/>
  <c r="CD20" i="14"/>
  <c r="CE20" i="14"/>
  <c r="BY20" i="14"/>
  <c r="CI20" i="14"/>
  <c r="BZ20" i="14"/>
  <c r="BX20" i="14"/>
  <c r="BQ20" i="14"/>
  <c r="EE20" i="14"/>
  <c r="BL20" i="14"/>
  <c r="BT20" i="14"/>
  <c r="EB20" i="14"/>
  <c r="DC20" i="14"/>
  <c r="DG20" i="14"/>
  <c r="CY20" i="14"/>
  <c r="DD20" i="14"/>
  <c r="DF20" i="14"/>
  <c r="DE20" i="14"/>
  <c r="CW20" i="14"/>
  <c r="CX20" i="14"/>
  <c r="CZ20" i="14"/>
  <c r="DA20" i="14"/>
  <c r="DB20" i="14"/>
  <c r="CV20" i="14"/>
  <c r="DQ20" i="14"/>
  <c r="DL20" i="14"/>
  <c r="DN20" i="14"/>
  <c r="DR20" i="14"/>
  <c r="DK20" i="14"/>
  <c r="DM20" i="14"/>
  <c r="DI20" i="14"/>
  <c r="DS20" i="14"/>
  <c r="DJ20" i="14"/>
  <c r="DH20" i="14"/>
  <c r="DO20" i="14"/>
  <c r="DP20" i="14"/>
  <c r="CT20" i="14"/>
  <c r="CJ20" i="14"/>
  <c r="CS20" i="14"/>
  <c r="CK20" i="14"/>
  <c r="CU20" i="14"/>
  <c r="CL20" i="14"/>
  <c r="CO20" i="14"/>
  <c r="BP20" i="14"/>
  <c r="DV20" i="14"/>
  <c r="E20" i="14"/>
  <c r="O20" i="14"/>
  <c r="F20" i="14"/>
  <c r="D20" i="14"/>
  <c r="I20" i="14"/>
  <c r="L20" i="14"/>
  <c r="G20" i="14"/>
  <c r="H20" i="14"/>
  <c r="J20" i="14"/>
  <c r="K20" i="14"/>
  <c r="M20" i="14"/>
  <c r="N20" i="14"/>
  <c r="CP20" i="14"/>
  <c r="ED20" i="14"/>
  <c r="EC20" i="14"/>
  <c r="DU20" i="14"/>
  <c r="CM20" i="14"/>
  <c r="AH20" i="14"/>
  <c r="F15" i="1" l="1" a="1"/>
  <c r="F15" i="1" s="1"/>
  <c r="J4" i="17"/>
  <c r="C15" i="13"/>
  <c r="E15" i="13"/>
  <c r="G15" i="13"/>
  <c r="I15" i="13"/>
  <c r="K15" i="13"/>
  <c r="M15" i="13"/>
  <c r="O15" i="13"/>
  <c r="Q15" i="13"/>
  <c r="S15" i="13"/>
  <c r="U15" i="13"/>
  <c r="W15" i="13"/>
  <c r="Y15" i="13"/>
  <c r="C27" i="13"/>
  <c r="E27" i="13"/>
  <c r="G27" i="13"/>
  <c r="I27" i="13"/>
  <c r="Z27" i="13" s="1"/>
  <c r="K27" i="13"/>
  <c r="M27" i="13"/>
  <c r="O27" i="13"/>
  <c r="Q27" i="13"/>
  <c r="S27" i="13"/>
  <c r="U27" i="13"/>
  <c r="W27" i="13"/>
  <c r="Y27" i="13"/>
  <c r="G15" i="1" l="1" a="1"/>
  <c r="G15" i="1" s="1"/>
  <c r="K4" i="17"/>
  <c r="Z15" i="13"/>
  <c r="Z31" i="13" s="1"/>
  <c r="Z32" i="13" s="1"/>
  <c r="AA32" i="13" s="1"/>
  <c r="H15" i="1" l="1" a="1"/>
  <c r="H15" i="1" s="1"/>
  <c r="L4" i="17"/>
  <c r="E19" i="1"/>
  <c r="F19" i="1"/>
  <c r="G19" i="1"/>
  <c r="H19" i="1"/>
  <c r="I19" i="1"/>
  <c r="J19" i="1"/>
  <c r="K19" i="1"/>
  <c r="L19" i="1"/>
  <c r="M19" i="1"/>
  <c r="N19" i="1"/>
  <c r="D19" i="1"/>
  <c r="M4" i="17" l="1"/>
  <c r="I15" i="1" a="1"/>
  <c r="I15" i="1" s="1"/>
  <c r="C4" i="6"/>
  <c r="C9" i="6"/>
  <c r="D4" i="6" s="1"/>
  <c r="C16" i="6"/>
  <c r="C12" i="6"/>
  <c r="N4" i="17" l="1"/>
  <c r="J15" i="1" a="1"/>
  <c r="J15" i="1" s="1"/>
  <c r="E4" i="6"/>
  <c r="O4" i="17" l="1"/>
  <c r="K15" i="1" a="1"/>
  <c r="K15" i="1" s="1"/>
  <c r="H9" i="10"/>
  <c r="I9" i="10" s="1"/>
  <c r="F9" i="10"/>
  <c r="I4" i="10"/>
  <c r="F4" i="10"/>
  <c r="D4" i="9"/>
  <c r="E4" i="9" s="1"/>
  <c r="P4" i="17" l="1"/>
  <c r="L15" i="1" a="1"/>
  <c r="L15" i="1" s="1"/>
  <c r="J4" i="10"/>
  <c r="G18" i="1" s="1"/>
  <c r="F18" i="1"/>
  <c r="J9" i="10"/>
  <c r="Q4" i="17" l="1"/>
  <c r="N15" i="1" s="1" a="1"/>
  <c r="N15" i="1" s="1"/>
  <c r="M15" i="1" a="1"/>
  <c r="M15" i="1" s="1"/>
  <c r="K4" i="10"/>
  <c r="H18" i="1" s="1"/>
  <c r="K9" i="10"/>
  <c r="L9" i="10"/>
  <c r="L4" i="10" l="1"/>
  <c r="I18" i="1" s="1"/>
  <c r="M9" i="10"/>
  <c r="M4" i="10"/>
  <c r="J18" i="1" s="1"/>
  <c r="N9" i="10" l="1"/>
  <c r="N4" i="10"/>
  <c r="K18" i="1" s="1"/>
  <c r="O9" i="10" l="1"/>
  <c r="O4" i="10"/>
  <c r="F10" i="3"/>
  <c r="C13" i="6"/>
  <c r="F4" i="6" s="1"/>
  <c r="C17" i="6"/>
  <c r="I4" i="6" s="1"/>
  <c r="F2" i="4"/>
  <c r="P2" i="4"/>
  <c r="O2" i="4"/>
  <c r="N2" i="4"/>
  <c r="M2" i="4"/>
  <c r="L2" i="4"/>
  <c r="K2" i="4"/>
  <c r="J2" i="4"/>
  <c r="I2" i="4"/>
  <c r="H2" i="4"/>
  <c r="G2" i="4"/>
  <c r="F8" i="4"/>
  <c r="C17" i="1" s="1"/>
  <c r="C24" i="1" s="1"/>
  <c r="C25" i="1" s="1"/>
  <c r="G8" i="4"/>
  <c r="D17" i="1" s="1"/>
  <c r="G10" i="3"/>
  <c r="H10" i="3"/>
  <c r="H12" i="3" s="1"/>
  <c r="I10" i="3"/>
  <c r="J10" i="3"/>
  <c r="H11" i="4" l="1"/>
  <c r="I11" i="4" s="1"/>
  <c r="E17" i="1" s="1"/>
  <c r="L18" i="1"/>
  <c r="N18" i="1"/>
  <c r="I12" i="3"/>
  <c r="G12" i="3"/>
  <c r="K10" i="3"/>
  <c r="L10" i="3" s="1"/>
  <c r="M10" i="3" s="1"/>
  <c r="J12" i="3"/>
  <c r="N10" i="3"/>
  <c r="P9" i="10"/>
  <c r="P4" i="10"/>
  <c r="M18" i="1" s="1"/>
  <c r="J4" i="6"/>
  <c r="N4" i="6"/>
  <c r="M4" i="6"/>
  <c r="L4" i="6"/>
  <c r="K4" i="6"/>
  <c r="P4" i="6"/>
  <c r="G4" i="6"/>
  <c r="O4" i="6"/>
  <c r="H4" i="6"/>
  <c r="O10" i="3" l="1"/>
  <c r="G5" i="6"/>
  <c r="F17" i="1"/>
  <c r="P10" i="3" l="1"/>
  <c r="G17" i="1"/>
  <c r="H17" i="1" l="1"/>
  <c r="I17" i="1" l="1"/>
  <c r="J17" i="1" l="1"/>
  <c r="K17" i="1" l="1"/>
  <c r="L17" i="1" l="1"/>
  <c r="G4" i="9" l="1"/>
  <c r="D22" i="1" s="1"/>
  <c r="M17" i="1" l="1"/>
  <c r="N17" i="1"/>
  <c r="H4" i="9"/>
  <c r="E22" i="1" s="1"/>
  <c r="E24" i="1" s="1"/>
  <c r="D24" i="1" l="1"/>
  <c r="D25" i="1" s="1"/>
  <c r="I4" i="9"/>
  <c r="F22" i="1" s="1"/>
  <c r="E25" i="1" l="1"/>
  <c r="J4" i="9"/>
  <c r="G22" i="1" s="1"/>
  <c r="F24" i="1" l="1"/>
  <c r="F25" i="1" s="1"/>
  <c r="K4" i="9"/>
  <c r="H22" i="1" s="1"/>
  <c r="G24" i="1" l="1"/>
  <c r="G25" i="1" s="1"/>
  <c r="L4" i="9"/>
  <c r="I22" i="1" s="1"/>
  <c r="H24" i="1" l="1"/>
  <c r="H25" i="1" s="1"/>
  <c r="M4" i="9"/>
  <c r="J22" i="1" s="1"/>
  <c r="I24" i="1"/>
  <c r="I25" i="1" s="1"/>
  <c r="N4" i="9" l="1"/>
  <c r="K22" i="1" s="1"/>
  <c r="J24" i="1" l="1"/>
  <c r="J25" i="1" s="1"/>
  <c r="O4" i="9"/>
  <c r="L22" i="1" s="1"/>
  <c r="K24" i="1"/>
  <c r="K25" i="1" s="1"/>
  <c r="P4" i="9" l="1"/>
  <c r="L24" i="1"/>
  <c r="L25" i="1" s="1"/>
  <c r="M22" i="1" l="1"/>
  <c r="Q4" i="9"/>
  <c r="N22" i="1" s="1"/>
  <c r="N24" i="1" s="1"/>
  <c r="N25" i="1" s="1"/>
  <c r="M24" i="1" l="1"/>
  <c r="M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<sst xmlns="http://schemas.openxmlformats.org/spreadsheetml/2006/main" count="364" uniqueCount="122">
  <si>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</si>
  <si>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</si>
  <si>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</si>
  <si>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</si>
  <si>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</si>
  <si>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</si>
  <si>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</si>
  <si>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</si>
  <si>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</si>
  <si>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</si>
  <si>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</si>
  <si>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</si>
  <si>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</si>
  <si>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</si>
  <si>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</si>
  <si>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</si>
  <si>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</si>
  <si>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</si>
  <si>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</si>
  <si>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</si>
  <si>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</si>
  <si>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</si>
  <si>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</si>
  <si>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</si>
  <si>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</si>
  <si>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</si>
  <si>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</si>
  <si>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</si>
  <si>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</si>
  <si>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</si>
  <si>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</si>
  <si>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</si>
  <si>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</si>
  <si>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</si>
  <si>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</si>
  <si>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</si>
  <si>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</si>
  <si>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</si>
  <si>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</si>
  <si>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</si>
  <si>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</si>
  <si>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</si>
  <si>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</si>
  <si>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</si>
  <si>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</si>
  <si>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</si>
  <si>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</si>
  <si>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</si>
  <si>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</si>
  <si>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</si>
  <si>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</si>
  <si>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</si>
  <si>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</si>
  <si>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</si>
  <si>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</si>
  <si>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</si>
  <si>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</si>
  <si>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</si>
  <si>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</si>
  <si>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</si>
  <si>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</si>
  <si>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</si>
  <si>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</si>
  <si>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</si>
  <si>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</si>
  <si>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</si>
  <si>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</si>
  <si>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</si>
  <si>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</si>
  <si>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</si>
  <si>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</si>
  <si>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</si>
  <si>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</si>
  <si>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</si>
  <si>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</si>
  <si>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</si>
  <si>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</si>
  <si>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</si>
  <si>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</si>
  <si>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</si>
  <si>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OUT</t>
  </si>
  <si>
    <t>Dago Condotel</t>
  </si>
  <si>
    <t>SC Medco (per tahun)</t>
  </si>
  <si>
    <t>Before 2022</t>
  </si>
  <si>
    <t>IN</t>
  </si>
  <si>
    <t>MEPI</t>
  </si>
  <si>
    <t>AMNT</t>
  </si>
  <si>
    <t>Corridor</t>
  </si>
  <si>
    <t>Progresys</t>
  </si>
  <si>
    <t>IWG</t>
  </si>
  <si>
    <t>USAID</t>
  </si>
  <si>
    <t>MindID</t>
  </si>
  <si>
    <t>LINE (D)</t>
  </si>
  <si>
    <t>E=Expand</t>
  </si>
  <si>
    <t>D=Downsoze</t>
  </si>
  <si>
    <t>Zico</t>
  </si>
  <si>
    <t>AstraNawa</t>
  </si>
  <si>
    <t>AON</t>
  </si>
  <si>
    <t>Simenggaris</t>
  </si>
  <si>
    <t>End</t>
  </si>
  <si>
    <t>𝚫</t>
  </si>
  <si>
    <t>Brulle</t>
  </si>
  <si>
    <t xml:space="preserve">Start = </t>
  </si>
  <si>
    <t>Leasable =</t>
  </si>
  <si>
    <t>Storage</t>
  </si>
  <si>
    <t>Retail</t>
  </si>
  <si>
    <t>Facilities</t>
  </si>
  <si>
    <t>Max</t>
  </si>
  <si>
    <t>Office</t>
  </si>
  <si>
    <t>Area leased (m2)</t>
  </si>
  <si>
    <t>Area leased (%)</t>
  </si>
  <si>
    <t>2033</t>
  </si>
  <si>
    <t>The Energy</t>
  </si>
  <si>
    <t>Exchange Rate</t>
  </si>
  <si>
    <t>Total (IDR)</t>
  </si>
  <si>
    <t>Total (USD)</t>
  </si>
  <si>
    <t>Column2</t>
  </si>
  <si>
    <t>Inc1</t>
  </si>
  <si>
    <t>Inc2</t>
  </si>
  <si>
    <t>Average Occupancy</t>
  </si>
  <si>
    <t>Revenues</t>
  </si>
  <si>
    <t>-AMG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</si>
</sst>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  <numFmt numFmtId="169" formatCode="mm/yyyy"/>
    <numFmt numFmtId="170" formatCode="0.0%"/>
    <numFmt numFmtId="171" formatCode="mm\-yyyy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164" fontId="15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0" fontId="18" fillId="0" borderId="0" xfId="4" applyNumberFormat="1" applyFont="1" applyAlignment="1">
      <alignment vertical="center"/>
    </xf>
    <xf numFmtId="43" fontId="18" fillId="0" borderId="0" xfId="1" applyFont="1" applyAlignment="1">
      <alignment vertical="center"/>
    </xf>
    <xf numFmtId="0" fontId="18" fillId="0" borderId="0" xfId="0" applyFont="1" applyAlignment="1">
      <alignment horizontal="right" vertical="center"/>
    </xf>
    <xf numFmtId="43" fontId="18" fillId="0" borderId="0" xfId="0" applyNumberFormat="1" applyFont="1" applyAlignment="1">
      <alignment vertical="center"/>
    </xf>
    <xf numFmtId="0" fontId="19" fillId="0" borderId="0" xfId="0" applyFont="1" applyAlignment="1">
      <alignment horizontal="right" vertical="center"/>
    </xf>
    <xf numFmtId="43" fontId="16" fillId="0" borderId="0" xfId="1" applyFont="1" applyAlignment="1">
      <alignment vertical="center"/>
    </xf>
    <xf numFmtId="43" fontId="18" fillId="9" borderId="0" xfId="1" applyFont="1" applyFill="1" applyAlignment="1">
      <alignment vertical="center"/>
    </xf>
    <xf numFmtId="43" fontId="16" fillId="9" borderId="12" xfId="1" applyFont="1" applyFill="1" applyBorder="1" applyAlignment="1">
      <alignment vertical="center"/>
    </xf>
    <xf numFmtId="43" fontId="17" fillId="9" borderId="15" xfId="1" applyFont="1" applyFill="1" applyBorder="1" applyAlignment="1">
      <alignment vertical="center"/>
    </xf>
    <xf numFmtId="43" fontId="16" fillId="0" borderId="12" xfId="1" applyFont="1" applyBorder="1" applyAlignment="1">
      <alignment vertical="center"/>
    </xf>
    <xf numFmtId="43" fontId="17" fillId="0" borderId="15" xfId="1" applyFont="1" applyBorder="1" applyAlignment="1">
      <alignment vertical="center"/>
    </xf>
    <xf numFmtId="43" fontId="16" fillId="0" borderId="20" xfId="1" applyFont="1" applyBorder="1" applyAlignment="1">
      <alignment vertical="center"/>
    </xf>
    <xf numFmtId="43" fontId="20" fillId="0" borderId="0" xfId="1" applyFont="1" applyAlignment="1">
      <alignment vertical="center"/>
    </xf>
    <xf numFmtId="0" fontId="21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69" fontId="2" fillId="8" borderId="0" xfId="0" applyNumberFormat="1" applyFont="1" applyFill="1" applyAlignment="1">
      <alignment horizontal="center" vertical="center"/>
    </xf>
    <xf numFmtId="167" fontId="0" fillId="0" borderId="14" xfId="0" applyNumberFormat="1" applyBorder="1" applyAlignment="1">
      <alignment vertical="center"/>
    </xf>
    <xf numFmtId="167" fontId="0" fillId="0" borderId="26" xfId="0" applyNumberFormat="1" applyBorder="1" applyAlignment="1">
      <alignment vertical="center"/>
    </xf>
    <xf numFmtId="169" fontId="2" fillId="8" borderId="8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vertical="center"/>
    </xf>
    <xf numFmtId="43" fontId="4" fillId="0" borderId="8" xfId="1" applyFont="1" applyFill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right" vertical="center"/>
    </xf>
    <xf numFmtId="170" fontId="4" fillId="0" borderId="8" xfId="0" applyNumberFormat="1" applyFont="1" applyBorder="1" applyAlignment="1">
      <alignment horizontal="right" vertical="center"/>
    </xf>
    <xf numFmtId="170" fontId="1" fillId="0" borderId="8" xfId="2" applyNumberFormat="1" applyFont="1" applyBorder="1" applyAlignment="1">
      <alignment horizontal="right" vertical="center"/>
    </xf>
    <xf numFmtId="43" fontId="3" fillId="0" borderId="8" xfId="1" applyFont="1" applyBorder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171" fontId="2" fillId="8" borderId="0" xfId="0" applyNumberFormat="1" applyFont="1" applyFill="1" applyAlignment="1">
      <alignment horizontal="center" vertical="center"/>
    </xf>
    <xf numFmtId="43" fontId="3" fillId="0" borderId="0" xfId="1" applyFont="1" applyAlignment="1">
      <alignment vertical="center"/>
    </xf>
    <xf numFmtId="43" fontId="1" fillId="0" borderId="0" xfId="1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170" fontId="3" fillId="9" borderId="8" xfId="2" applyNumberFormat="1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3" fillId="10" borderId="0" xfId="0" applyFont="1" applyFill="1" applyAlignment="1">
      <alignment horizontal="right" vertical="center"/>
    </xf>
    <xf numFmtId="43" fontId="0" fillId="10" borderId="0" xfId="1" applyFont="1" applyFill="1" applyAlignment="1">
      <alignment vertical="center"/>
    </xf>
    <xf numFmtId="10" fontId="3" fillId="0" borderId="8" xfId="2" applyNumberFormat="1" applyFont="1" applyBorder="1" applyAlignment="1">
      <alignment vertical="center"/>
    </xf>
    <xf numFmtId="164" fontId="1" fillId="0" borderId="0" xfId="1" applyNumberFormat="1" applyFont="1" applyAlignment="1">
      <alignment vertical="center"/>
    </xf>
    <xf numFmtId="1" fontId="2" fillId="2" borderId="0" xfId="1" applyNumberFormat="1" applyFont="1" applyFill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1" fontId="3" fillId="0" borderId="0" xfId="5" applyNumberFormat="1" applyFont="1" applyAlignment="1">
      <alignment horizontal="center" vertical="center"/>
    </xf>
    <xf numFmtId="9" fontId="0" fillId="7" borderId="21" xfId="0" applyNumberFormat="1" applyFill="1" applyBorder="1" applyAlignment="1">
      <alignment vertical="center"/>
    </xf>
    <xf numFmtId="9" fontId="0" fillId="8" borderId="21" xfId="0" applyNumberFormat="1" applyFill="1" applyBorder="1" applyAlignment="1">
      <alignment horizontal="center" vertical="center"/>
    </xf>
    <xf numFmtId="9" fontId="0" fillId="0" borderId="0" xfId="2" applyFont="1" applyBorder="1" applyAlignment="1">
      <alignment vertical="center"/>
    </xf>
    <xf numFmtId="164" fontId="0" fillId="7" borderId="0" xfId="1" applyNumberFormat="1" applyFont="1" applyFill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9" fontId="0" fillId="0" borderId="20" xfId="2" applyFont="1" applyFill="1" applyBorder="1" applyAlignment="1">
      <alignment vertical="center"/>
    </xf>
    <xf numFmtId="10" fontId="0" fillId="0" borderId="20" xfId="0" applyNumberFormat="1" applyBorder="1" applyAlignment="1">
      <alignment horizontal="center" vertical="center"/>
    </xf>
    <xf numFmtId="164" fontId="0" fillId="0" borderId="20" xfId="0" applyNumberFormat="1" applyBorder="1" applyAlignment="1">
      <alignment vertical="center"/>
    </xf>
    <xf numFmtId="10" fontId="4" fillId="0" borderId="0" xfId="0" applyNumberFormat="1" applyFont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164" fontId="0" fillId="7" borderId="27" xfId="1" applyNumberFormat="1" applyFont="1" applyFill="1" applyBorder="1" applyAlignment="1">
      <alignment vertical="center"/>
    </xf>
    <xf numFmtId="164" fontId="0" fillId="0" borderId="28" xfId="1" applyNumberFormat="1" applyFont="1" applyBorder="1" applyAlignment="1">
      <alignment vertical="center"/>
    </xf>
    <xf numFmtId="164" fontId="0" fillId="0" borderId="22" xfId="1" applyNumberFormat="1" applyFont="1" applyBorder="1" applyAlignment="1">
      <alignment vertical="center"/>
    </xf>
    <xf numFmtId="0" fontId="23" fillId="2" borderId="0" xfId="0" applyFont="1" applyFill="1" applyAlignment="1">
      <alignment horizontal="center" vertical="center"/>
    </xf>
    <xf numFmtId="1" fontId="23" fillId="2" borderId="0" xfId="2" applyNumberFormat="1" applyFont="1" applyFill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24" fillId="0" borderId="2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0" fontId="24" fillId="0" borderId="20" xfId="0" applyNumberFormat="1" applyFont="1" applyBorder="1" applyAlignment="1">
      <alignment horizontal="left" vertical="center"/>
    </xf>
    <xf numFmtId="10" fontId="24" fillId="0" borderId="20" xfId="1" applyNumberFormat="1" applyFont="1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5" applyNumberFormat="1" applyFont="1" applyAlignment="1">
      <alignment horizontal="center" vertical="center"/>
    </xf>
    <xf numFmtId="164" fontId="24" fillId="0" borderId="0" xfId="1" applyNumberFormat="1" applyFont="1" applyAlignment="1">
      <alignment vertical="center"/>
    </xf>
    <xf numFmtId="164" fontId="24" fillId="0" borderId="20" xfId="1" applyNumberFormat="1" applyFont="1" applyBorder="1" applyAlignment="1">
      <alignment vertical="center"/>
    </xf>
    <xf numFmtId="164" fontId="24" fillId="0" borderId="0" xfId="0" applyNumberFormat="1" applyFont="1" applyAlignment="1">
      <alignment vertical="center"/>
    </xf>
    <xf numFmtId="164" fontId="24" fillId="0" borderId="2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6" fillId="9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43" fontId="0" fillId="0" borderId="0" xfId="1" applyFont="1" applyAlignment="1">
      <alignment horizontal="right" vertical="center"/>
    </xf>
    <xf numFmtId="43" fontId="15" fillId="0" borderId="0" xfId="1" applyFont="1" applyAlignment="1">
      <alignment vertical="center"/>
    </xf>
    <xf numFmtId="0" fontId="3" fillId="0" borderId="0" xfId="0" quotePrefix="1" applyFont="1" applyAlignment="1">
      <alignment horizontal="right" vertical="center"/>
    </xf>
  </cellXfs>
  <cellStyles count="6">
    <cellStyle name="Comma" xfId="1" builtinId="3"/>
    <cellStyle name="Currency" xfId="5" builtinId="4"/>
    <cellStyle name="Normal" xfId="0" builtinId="0"/>
    <cellStyle name="Normal 2" xfId="3" xr:uid="{CE309EA9-2ACD-FD45-9E22-4DD1ECE3D7F0}"/>
    <cellStyle name="Percent" xfId="2" builtinId="5"/>
    <cellStyle name="Percent 2" xfId="4" xr:uid="{37C79E01-23D8-B544-9ED2-576E7611C43A}"/>
  </cellStyles>
  <dxfs count="277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  <border outline="0">
        <right style="thin">
          <color indexed="64"/>
        </right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4" formatCode="0.00%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 Office (m)'!$C$9:$ED$9</c:f>
              <c:numCache>
                <c:formatCode>0.00%</c:formatCode>
                <c:ptCount val="132"/>
                <c:pt idx="0">
                  <c:v>0.74315713692948415</c:v>
                </c:pt>
                <c:pt idx="1">
                  <c:v>0.74315713692948415</c:v>
                </c:pt>
                <c:pt idx="2">
                  <c:v>0.73899143516531585</c:v>
                </c:pt>
                <c:pt idx="3">
                  <c:v>0.73899143516531585</c:v>
                </c:pt>
                <c:pt idx="4">
                  <c:v>0.74126860277502316</c:v>
                </c:pt>
                <c:pt idx="5">
                  <c:v>0.74126860277502316</c:v>
                </c:pt>
                <c:pt idx="6">
                  <c:v>0.82154653424767388</c:v>
                </c:pt>
                <c:pt idx="7">
                  <c:v>0.84736353124707231</c:v>
                </c:pt>
                <c:pt idx="8">
                  <c:v>0.84736353124707231</c:v>
                </c:pt>
                <c:pt idx="9">
                  <c:v>0.86770966904032076</c:v>
                </c:pt>
                <c:pt idx="10">
                  <c:v>0.86064064077446345</c:v>
                </c:pt>
                <c:pt idx="11">
                  <c:v>0.86872328733859105</c:v>
                </c:pt>
                <c:pt idx="12">
                  <c:v>0.88395617734227883</c:v>
                </c:pt>
                <c:pt idx="13">
                  <c:v>0.88333738718989163</c:v>
                </c:pt>
                <c:pt idx="14">
                  <c:v>0.88333738718989163</c:v>
                </c:pt>
                <c:pt idx="15">
                  <c:v>0.88779892869760091</c:v>
                </c:pt>
                <c:pt idx="16">
                  <c:v>0.88779892869760091</c:v>
                </c:pt>
                <c:pt idx="17">
                  <c:v>0.88779892869760091</c:v>
                </c:pt>
                <c:pt idx="18">
                  <c:v>0.89229934101146136</c:v>
                </c:pt>
                <c:pt idx="19">
                  <c:v>0.89229934101146136</c:v>
                </c:pt>
                <c:pt idx="20">
                  <c:v>0.89229934101146136</c:v>
                </c:pt>
                <c:pt idx="21">
                  <c:v>0.89229934101146136</c:v>
                </c:pt>
                <c:pt idx="22">
                  <c:v>0.89229934101146136</c:v>
                </c:pt>
                <c:pt idx="23">
                  <c:v>0.89229934101146136</c:v>
                </c:pt>
                <c:pt idx="24">
                  <c:v>0.89229934101146136</c:v>
                </c:pt>
                <c:pt idx="25">
                  <c:v>0.89229934101146136</c:v>
                </c:pt>
                <c:pt idx="26">
                  <c:v>0.89229934101146136</c:v>
                </c:pt>
                <c:pt idx="27">
                  <c:v>0.89229934101146136</c:v>
                </c:pt>
                <c:pt idx="28">
                  <c:v>0.88722264832045128</c:v>
                </c:pt>
                <c:pt idx="29">
                  <c:v>0.88722264832045128</c:v>
                </c:pt>
                <c:pt idx="30">
                  <c:v>0.88722264832045128</c:v>
                </c:pt>
                <c:pt idx="31">
                  <c:v>0.88722264832045128</c:v>
                </c:pt>
                <c:pt idx="32">
                  <c:v>0.88722264832045128</c:v>
                </c:pt>
                <c:pt idx="33">
                  <c:v>0.88722264832045128</c:v>
                </c:pt>
                <c:pt idx="34">
                  <c:v>0.88725572985760115</c:v>
                </c:pt>
                <c:pt idx="35">
                  <c:v>0.88725572985760115</c:v>
                </c:pt>
                <c:pt idx="36">
                  <c:v>0.88725572985760115</c:v>
                </c:pt>
                <c:pt idx="37">
                  <c:v>0.88725572985760115</c:v>
                </c:pt>
                <c:pt idx="38">
                  <c:v>0.88725572985760115</c:v>
                </c:pt>
                <c:pt idx="39">
                  <c:v>0.88725572985760115</c:v>
                </c:pt>
                <c:pt idx="40">
                  <c:v>0.88497856224789373</c:v>
                </c:pt>
                <c:pt idx="41">
                  <c:v>0.88497856224789373</c:v>
                </c:pt>
                <c:pt idx="42">
                  <c:v>0.88272934853707807</c:v>
                </c:pt>
                <c:pt idx="43">
                  <c:v>0.88272934853707807</c:v>
                </c:pt>
                <c:pt idx="44">
                  <c:v>0.88272934853707807</c:v>
                </c:pt>
                <c:pt idx="45">
                  <c:v>0.88272934853707807</c:v>
                </c:pt>
                <c:pt idx="46">
                  <c:v>0.88272934853707807</c:v>
                </c:pt>
                <c:pt idx="47">
                  <c:v>0.88272934853707807</c:v>
                </c:pt>
                <c:pt idx="48">
                  <c:v>0.88975935435641074</c:v>
                </c:pt>
                <c:pt idx="49">
                  <c:v>0.88975935435641074</c:v>
                </c:pt>
                <c:pt idx="50">
                  <c:v>0.88975935435641074</c:v>
                </c:pt>
                <c:pt idx="51">
                  <c:v>0.88975935435641074</c:v>
                </c:pt>
                <c:pt idx="52">
                  <c:v>0.88975935435641074</c:v>
                </c:pt>
                <c:pt idx="53">
                  <c:v>0.88975935435641074</c:v>
                </c:pt>
                <c:pt idx="54">
                  <c:v>0.88975935435641074</c:v>
                </c:pt>
                <c:pt idx="55">
                  <c:v>0.88975935435641074</c:v>
                </c:pt>
                <c:pt idx="56">
                  <c:v>0.83855823227121906</c:v>
                </c:pt>
                <c:pt idx="57">
                  <c:v>0.83855823227121906</c:v>
                </c:pt>
                <c:pt idx="58">
                  <c:v>0.83855823227121906</c:v>
                </c:pt>
                <c:pt idx="59">
                  <c:v>0.83855823227121906</c:v>
                </c:pt>
                <c:pt idx="60">
                  <c:v>0.87510539464585357</c:v>
                </c:pt>
                <c:pt idx="61">
                  <c:v>0.87510539464585357</c:v>
                </c:pt>
                <c:pt idx="62">
                  <c:v>0.87510539464585357</c:v>
                </c:pt>
                <c:pt idx="63">
                  <c:v>0.87510539464585357</c:v>
                </c:pt>
                <c:pt idx="64">
                  <c:v>0.87510539464585357</c:v>
                </c:pt>
                <c:pt idx="65">
                  <c:v>0.87510539464585357</c:v>
                </c:pt>
                <c:pt idx="66">
                  <c:v>0.87510539464585357</c:v>
                </c:pt>
                <c:pt idx="67">
                  <c:v>0.87510539464585357</c:v>
                </c:pt>
                <c:pt idx="68">
                  <c:v>0.87510539464585357</c:v>
                </c:pt>
                <c:pt idx="69">
                  <c:v>0.87510539464585357</c:v>
                </c:pt>
                <c:pt idx="70">
                  <c:v>0.87510539464585357</c:v>
                </c:pt>
                <c:pt idx="71">
                  <c:v>0.87510539464585357</c:v>
                </c:pt>
                <c:pt idx="72">
                  <c:v>0.88806359815512048</c:v>
                </c:pt>
                <c:pt idx="73">
                  <c:v>0.88806359815512048</c:v>
                </c:pt>
                <c:pt idx="74">
                  <c:v>0.88806359815512048</c:v>
                </c:pt>
                <c:pt idx="75">
                  <c:v>0.8833107737128072</c:v>
                </c:pt>
                <c:pt idx="76">
                  <c:v>0.88786494352453593</c:v>
                </c:pt>
                <c:pt idx="77">
                  <c:v>0.88786494352453593</c:v>
                </c:pt>
                <c:pt idx="78">
                  <c:v>0.89236535583839638</c:v>
                </c:pt>
                <c:pt idx="79">
                  <c:v>0.88781118602666753</c:v>
                </c:pt>
                <c:pt idx="80">
                  <c:v>0.88781118602666753</c:v>
                </c:pt>
                <c:pt idx="81">
                  <c:v>0.88553649953224656</c:v>
                </c:pt>
                <c:pt idx="82">
                  <c:v>0.88553649953224656</c:v>
                </c:pt>
                <c:pt idx="83">
                  <c:v>0.88553649953224656</c:v>
                </c:pt>
                <c:pt idx="84">
                  <c:v>0.86807788370911931</c:v>
                </c:pt>
                <c:pt idx="85">
                  <c:v>0.86807788370911931</c:v>
                </c:pt>
                <c:pt idx="86">
                  <c:v>0.86807788370911931</c:v>
                </c:pt>
                <c:pt idx="87">
                  <c:v>0.86807788370911931</c:v>
                </c:pt>
                <c:pt idx="88">
                  <c:v>0.86807788370911931</c:v>
                </c:pt>
                <c:pt idx="89">
                  <c:v>0.86807788370911931</c:v>
                </c:pt>
                <c:pt idx="90">
                  <c:v>0.89367770041712935</c:v>
                </c:pt>
                <c:pt idx="91">
                  <c:v>0.89367770041712935</c:v>
                </c:pt>
                <c:pt idx="92">
                  <c:v>0.89367770041712935</c:v>
                </c:pt>
                <c:pt idx="93">
                  <c:v>0.89367770041712935</c:v>
                </c:pt>
                <c:pt idx="94">
                  <c:v>0.89367770041712935</c:v>
                </c:pt>
                <c:pt idx="95">
                  <c:v>0.89367770041712935</c:v>
                </c:pt>
                <c:pt idx="96">
                  <c:v>0.89367770041712935</c:v>
                </c:pt>
                <c:pt idx="97">
                  <c:v>0.89367770041712935</c:v>
                </c:pt>
                <c:pt idx="98">
                  <c:v>0.89367770041712935</c:v>
                </c:pt>
                <c:pt idx="99">
                  <c:v>0.89367770041712935</c:v>
                </c:pt>
                <c:pt idx="100">
                  <c:v>0.89367770041712935</c:v>
                </c:pt>
                <c:pt idx="101">
                  <c:v>0.89367770041712935</c:v>
                </c:pt>
                <c:pt idx="102">
                  <c:v>0.89367770041712935</c:v>
                </c:pt>
                <c:pt idx="103">
                  <c:v>0.89367770041712935</c:v>
                </c:pt>
                <c:pt idx="104">
                  <c:v>0.89367770041712935</c:v>
                </c:pt>
                <c:pt idx="105">
                  <c:v>0.89367770041712935</c:v>
                </c:pt>
                <c:pt idx="106">
                  <c:v>0.89367770041712935</c:v>
                </c:pt>
                <c:pt idx="107">
                  <c:v>0.89367770041712935</c:v>
                </c:pt>
                <c:pt idx="108">
                  <c:v>0.89367770041712935</c:v>
                </c:pt>
                <c:pt idx="109">
                  <c:v>0.89367770041712935</c:v>
                </c:pt>
                <c:pt idx="110">
                  <c:v>0.89367770041712935</c:v>
                </c:pt>
                <c:pt idx="111">
                  <c:v>0.89367770041712935</c:v>
                </c:pt>
                <c:pt idx="112">
                  <c:v>0.89367770041712935</c:v>
                </c:pt>
                <c:pt idx="113">
                  <c:v>0.89367770041712935</c:v>
                </c:pt>
                <c:pt idx="114">
                  <c:v>0.89367770041712935</c:v>
                </c:pt>
                <c:pt idx="115">
                  <c:v>0.89367770041712935</c:v>
                </c:pt>
                <c:pt idx="116">
                  <c:v>0.89367770041712935</c:v>
                </c:pt>
                <c:pt idx="117">
                  <c:v>0.89367770041712935</c:v>
                </c:pt>
                <c:pt idx="118">
                  <c:v>0.89367770041712935</c:v>
                </c:pt>
                <c:pt idx="119">
                  <c:v>0.89367770041712935</c:v>
                </c:pt>
                <c:pt idx="120">
                  <c:v>0.89367770041712935</c:v>
                </c:pt>
                <c:pt idx="121">
                  <c:v>0.89367770041712935</c:v>
                </c:pt>
                <c:pt idx="122">
                  <c:v>0.89367770041712935</c:v>
                </c:pt>
                <c:pt idx="123">
                  <c:v>0.89367770041712935</c:v>
                </c:pt>
                <c:pt idx="124">
                  <c:v>0.89367770041712935</c:v>
                </c:pt>
                <c:pt idx="125">
                  <c:v>0.89367770041712935</c:v>
                </c:pt>
                <c:pt idx="126">
                  <c:v>0.89367770041712935</c:v>
                </c:pt>
                <c:pt idx="127">
                  <c:v>0.89367770041712935</c:v>
                </c:pt>
                <c:pt idx="128">
                  <c:v>0.89367770041712935</c:v>
                </c:pt>
                <c:pt idx="129">
                  <c:v>0.89367770041712935</c:v>
                </c:pt>
                <c:pt idx="130">
                  <c:v>0.89367770041712935</c:v>
                </c:pt>
                <c:pt idx="131">
                  <c:v>0.89367770041712935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A-9848-8E3A-DBAD9C111C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739808"/>
        <c:axId val="1462204016"/>
      </c:lineChart>
      <c:dateAx>
        <c:axId val="605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04016"/>
        <c:crosses val="autoZero"/>
        <c:auto val="0"/>
        <c:lblOffset val="100"/>
        <c:baseTimeUnit val="days"/>
        <c:minorUnit val="1"/>
      </c:dateAx>
      <c:valAx>
        <c:axId val="1462204016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0573980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48000">
                  <a:schemeClr val="tx1">
                    <a:lumMod val="85000"/>
                    <a:lumOff val="15000"/>
                    <a:alpha val="70000"/>
                  </a:schemeClr>
                </a:gs>
                <a:gs pos="0">
                  <a:schemeClr val="tx1">
                    <a:lumMod val="95000"/>
                    <a:lumOff val="5000"/>
                    <a:alpha val="70000"/>
                  </a:schemeClr>
                </a:gs>
                <a:gs pos="99000">
                  <a:schemeClr val="tx1">
                    <a:lumMod val="75000"/>
                    <a:lumOff val="25000"/>
                    <a:alpha val="70000"/>
                  </a:schemeClr>
                </a:gs>
                <a:gs pos="100000">
                  <a:schemeClr val="accent2">
                    <a:alpha val="7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'TE All % (m)'!$D$20:$EE$20</c:f>
              <c:numCache>
                <c:formatCode>0.00%</c:formatCode>
                <c:ptCount val="132"/>
                <c:pt idx="0">
                  <c:v>0.81121612770824159</c:v>
                </c:pt>
                <c:pt idx="1">
                  <c:v>0.81121612770824159</c:v>
                </c:pt>
                <c:pt idx="2">
                  <c:v>0.81121612770824159</c:v>
                </c:pt>
                <c:pt idx="3">
                  <c:v>0.81121612770824159</c:v>
                </c:pt>
                <c:pt idx="4">
                  <c:v>0.81121612770824159</c:v>
                </c:pt>
                <c:pt idx="5">
                  <c:v>0.81121612770824159</c:v>
                </c:pt>
                <c:pt idx="6">
                  <c:v>0.81121612770824159</c:v>
                </c:pt>
                <c:pt idx="7">
                  <c:v>0.81121612770824159</c:v>
                </c:pt>
                <c:pt idx="8">
                  <c:v>0.81121612770824159</c:v>
                </c:pt>
                <c:pt idx="9">
                  <c:v>0.81121612770824159</c:v>
                </c:pt>
                <c:pt idx="10">
                  <c:v>0.81121612770824159</c:v>
                </c:pt>
                <c:pt idx="11">
                  <c:v>0.81121612770824159</c:v>
                </c:pt>
                <c:pt idx="12">
                  <c:v>0.89627449309068341</c:v>
                </c:pt>
                <c:pt idx="13">
                  <c:v>0.89627449309068341</c:v>
                </c:pt>
                <c:pt idx="14">
                  <c:v>0.89627449309068341</c:v>
                </c:pt>
                <c:pt idx="15">
                  <c:v>0.89627449309068341</c:v>
                </c:pt>
                <c:pt idx="16">
                  <c:v>0.89627449309068341</c:v>
                </c:pt>
                <c:pt idx="17">
                  <c:v>0.89627449309068341</c:v>
                </c:pt>
                <c:pt idx="18">
                  <c:v>0.89627449309068341</c:v>
                </c:pt>
                <c:pt idx="19">
                  <c:v>0.89627449309068341</c:v>
                </c:pt>
                <c:pt idx="20">
                  <c:v>0.89627449309068341</c:v>
                </c:pt>
                <c:pt idx="21">
                  <c:v>0.89627449309068341</c:v>
                </c:pt>
                <c:pt idx="22">
                  <c:v>0.89627449309068341</c:v>
                </c:pt>
                <c:pt idx="23">
                  <c:v>0.89627449309068341</c:v>
                </c:pt>
                <c:pt idx="24">
                  <c:v>0.89621466651915016</c:v>
                </c:pt>
                <c:pt idx="25">
                  <c:v>0.89621466651915016</c:v>
                </c:pt>
                <c:pt idx="26">
                  <c:v>0.89621466651915016</c:v>
                </c:pt>
                <c:pt idx="27">
                  <c:v>0.89621466651915016</c:v>
                </c:pt>
                <c:pt idx="28">
                  <c:v>0.89621466651915016</c:v>
                </c:pt>
                <c:pt idx="29">
                  <c:v>0.89621466651915016</c:v>
                </c:pt>
                <c:pt idx="30">
                  <c:v>0.89621466651915016</c:v>
                </c:pt>
                <c:pt idx="31">
                  <c:v>0.89621466651915016</c:v>
                </c:pt>
                <c:pt idx="32">
                  <c:v>0.89621466651915016</c:v>
                </c:pt>
                <c:pt idx="33">
                  <c:v>0.89621466651915016</c:v>
                </c:pt>
                <c:pt idx="34">
                  <c:v>0.89621466651915016</c:v>
                </c:pt>
                <c:pt idx="35">
                  <c:v>0.89621466651915016</c:v>
                </c:pt>
                <c:pt idx="36">
                  <c:v>0.89224538308143109</c:v>
                </c:pt>
                <c:pt idx="37">
                  <c:v>0.89224538308143109</c:v>
                </c:pt>
                <c:pt idx="38">
                  <c:v>0.89224538308143109</c:v>
                </c:pt>
                <c:pt idx="39">
                  <c:v>0.89224538308143109</c:v>
                </c:pt>
                <c:pt idx="40">
                  <c:v>0.89224538308143109</c:v>
                </c:pt>
                <c:pt idx="41">
                  <c:v>0.89224538308143109</c:v>
                </c:pt>
                <c:pt idx="42">
                  <c:v>0.89224538308143109</c:v>
                </c:pt>
                <c:pt idx="43">
                  <c:v>0.89224538308143109</c:v>
                </c:pt>
                <c:pt idx="44">
                  <c:v>0.89224538308143109</c:v>
                </c:pt>
                <c:pt idx="45">
                  <c:v>0.89224538308143109</c:v>
                </c:pt>
                <c:pt idx="46">
                  <c:v>0.89224538308143109</c:v>
                </c:pt>
                <c:pt idx="47">
                  <c:v>0.89224538308143109</c:v>
                </c:pt>
                <c:pt idx="48">
                  <c:v>0.88126037349636654</c:v>
                </c:pt>
                <c:pt idx="49">
                  <c:v>0.88126037349636654</c:v>
                </c:pt>
                <c:pt idx="50">
                  <c:v>0.88126037349636654</c:v>
                </c:pt>
                <c:pt idx="51">
                  <c:v>0.88126037349636654</c:v>
                </c:pt>
                <c:pt idx="52">
                  <c:v>0.88126037349636654</c:v>
                </c:pt>
                <c:pt idx="53">
                  <c:v>0.88126037349636654</c:v>
                </c:pt>
                <c:pt idx="54">
                  <c:v>0.88126037349636654</c:v>
                </c:pt>
                <c:pt idx="55">
                  <c:v>0.88126037349636654</c:v>
                </c:pt>
                <c:pt idx="56">
                  <c:v>0.88126037349636654</c:v>
                </c:pt>
                <c:pt idx="57">
                  <c:v>0.88126037349636654</c:v>
                </c:pt>
                <c:pt idx="58">
                  <c:v>0.88126037349636654</c:v>
                </c:pt>
                <c:pt idx="59">
                  <c:v>0.88126037349636654</c:v>
                </c:pt>
                <c:pt idx="60">
                  <c:v>0.88348404518333423</c:v>
                </c:pt>
                <c:pt idx="61">
                  <c:v>0.88348404518333423</c:v>
                </c:pt>
                <c:pt idx="62">
                  <c:v>0.88348404518333423</c:v>
                </c:pt>
                <c:pt idx="63">
                  <c:v>0.88348404518333423</c:v>
                </c:pt>
                <c:pt idx="64">
                  <c:v>0.88348404518333423</c:v>
                </c:pt>
                <c:pt idx="65">
                  <c:v>0.88348404518333423</c:v>
                </c:pt>
                <c:pt idx="66">
                  <c:v>0.88348404518333423</c:v>
                </c:pt>
                <c:pt idx="67">
                  <c:v>0.88348404518333423</c:v>
                </c:pt>
                <c:pt idx="68">
                  <c:v>0.88348404518333423</c:v>
                </c:pt>
                <c:pt idx="69">
                  <c:v>0.88348404518333423</c:v>
                </c:pt>
                <c:pt idx="70">
                  <c:v>0.88348404518333423</c:v>
                </c:pt>
                <c:pt idx="71">
                  <c:v>0.88348404518333423</c:v>
                </c:pt>
                <c:pt idx="72">
                  <c:v>0.89473902374484471</c:v>
                </c:pt>
                <c:pt idx="73">
                  <c:v>0.89473902374484471</c:v>
                </c:pt>
                <c:pt idx="74">
                  <c:v>0.89473902374484471</c:v>
                </c:pt>
                <c:pt idx="75">
                  <c:v>0.89473902374484471</c:v>
                </c:pt>
                <c:pt idx="76">
                  <c:v>0.89473902374484471</c:v>
                </c:pt>
                <c:pt idx="77">
                  <c:v>0.89473902374484471</c:v>
                </c:pt>
                <c:pt idx="78">
                  <c:v>0.89473902374484471</c:v>
                </c:pt>
                <c:pt idx="79">
                  <c:v>0.89473902374484471</c:v>
                </c:pt>
                <c:pt idx="80">
                  <c:v>0.89473902374484471</c:v>
                </c:pt>
                <c:pt idx="81">
                  <c:v>0.89473902374484471</c:v>
                </c:pt>
                <c:pt idx="82">
                  <c:v>0.89473902374484471</c:v>
                </c:pt>
                <c:pt idx="83">
                  <c:v>0.89473902374484471</c:v>
                </c:pt>
                <c:pt idx="84">
                  <c:v>0.88880335140849887</c:v>
                </c:pt>
                <c:pt idx="85">
                  <c:v>0.88880335140849887</c:v>
                </c:pt>
                <c:pt idx="86">
                  <c:v>0.88880335140849887</c:v>
                </c:pt>
                <c:pt idx="87">
                  <c:v>0.88880335140849887</c:v>
                </c:pt>
                <c:pt idx="88">
                  <c:v>0.88880335140849887</c:v>
                </c:pt>
                <c:pt idx="89">
                  <c:v>0.88880335140849887</c:v>
                </c:pt>
                <c:pt idx="90">
                  <c:v>0.88880335140849887</c:v>
                </c:pt>
                <c:pt idx="91">
                  <c:v>0.88880335140849887</c:v>
                </c:pt>
                <c:pt idx="92">
                  <c:v>0.88880335140849887</c:v>
                </c:pt>
                <c:pt idx="93">
                  <c:v>0.88880335140849887</c:v>
                </c:pt>
                <c:pt idx="94">
                  <c:v>0.88880335140849887</c:v>
                </c:pt>
                <c:pt idx="95">
                  <c:v>0.88880335140849887</c:v>
                </c:pt>
                <c:pt idx="96">
                  <c:v>0.900598560100347</c:v>
                </c:pt>
                <c:pt idx="97">
                  <c:v>0.900598560100347</c:v>
                </c:pt>
                <c:pt idx="98">
                  <c:v>0.900598560100347</c:v>
                </c:pt>
                <c:pt idx="99">
                  <c:v>0.900598560100347</c:v>
                </c:pt>
                <c:pt idx="100">
                  <c:v>0.900598560100347</c:v>
                </c:pt>
                <c:pt idx="101">
                  <c:v>0.900598560100347</c:v>
                </c:pt>
                <c:pt idx="102">
                  <c:v>0.900598560100347</c:v>
                </c:pt>
                <c:pt idx="103">
                  <c:v>0.900598560100347</c:v>
                </c:pt>
                <c:pt idx="104">
                  <c:v>0.900598560100347</c:v>
                </c:pt>
                <c:pt idx="105">
                  <c:v>0.900598560100347</c:v>
                </c:pt>
                <c:pt idx="106">
                  <c:v>0.900598560100347</c:v>
                </c:pt>
                <c:pt idx="107">
                  <c:v>0.900598560100347</c:v>
                </c:pt>
                <c:pt idx="108">
                  <c:v>0.900598560100347</c:v>
                </c:pt>
                <c:pt idx="109">
                  <c:v>0.900598560100347</c:v>
                </c:pt>
                <c:pt idx="110">
                  <c:v>0.900598560100347</c:v>
                </c:pt>
                <c:pt idx="111">
                  <c:v>0.900598560100347</c:v>
                </c:pt>
                <c:pt idx="112">
                  <c:v>0.900598560100347</c:v>
                </c:pt>
                <c:pt idx="113">
                  <c:v>0.900598560100347</c:v>
                </c:pt>
                <c:pt idx="114">
                  <c:v>0.900598560100347</c:v>
                </c:pt>
                <c:pt idx="115">
                  <c:v>0.900598560100347</c:v>
                </c:pt>
                <c:pt idx="116">
                  <c:v>0.900598560100347</c:v>
                </c:pt>
                <c:pt idx="117">
                  <c:v>0.900598560100347</c:v>
                </c:pt>
                <c:pt idx="118">
                  <c:v>0.900598560100347</c:v>
                </c:pt>
                <c:pt idx="119">
                  <c:v>0.900598560100347</c:v>
                </c:pt>
                <c:pt idx="120">
                  <c:v>0.900598560100347</c:v>
                </c:pt>
                <c:pt idx="121">
                  <c:v>0.900598560100347</c:v>
                </c:pt>
                <c:pt idx="122">
                  <c:v>0.900598560100347</c:v>
                </c:pt>
                <c:pt idx="123">
                  <c:v>0.900598560100347</c:v>
                </c:pt>
                <c:pt idx="124">
                  <c:v>0.900598560100347</c:v>
                </c:pt>
                <c:pt idx="125">
                  <c:v>0.900598560100347</c:v>
                </c:pt>
                <c:pt idx="126">
                  <c:v>0.900598560100347</c:v>
                </c:pt>
                <c:pt idx="127">
                  <c:v>0.900598560100347</c:v>
                </c:pt>
                <c:pt idx="128">
                  <c:v>0.900598560100347</c:v>
                </c:pt>
                <c:pt idx="129">
                  <c:v>0.900598560100347</c:v>
                </c:pt>
                <c:pt idx="130">
                  <c:v>0.900598560100347</c:v>
                </c:pt>
                <c:pt idx="131">
                  <c:v>0.900598560100347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D6-2D4C-A44B-C1F8ED9B0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4494128"/>
        <c:axId val="1024495856"/>
      </c:barChar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 All % (m)'!$D$4:$EE$4</c:f>
              <c:numCache>
                <c:formatCode>mm/yyyy</c:formatCode>
                <c:ptCount val="13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  <c:pt idx="36">
                  <c:v>46023</c:v>
                </c:pt>
                <c:pt idx="37">
                  <c:v>46054</c:v>
                </c:pt>
                <c:pt idx="38">
                  <c:v>46082</c:v>
                </c:pt>
                <c:pt idx="39">
                  <c:v>46113</c:v>
                </c:pt>
                <c:pt idx="40">
                  <c:v>46143</c:v>
                </c:pt>
                <c:pt idx="41">
                  <c:v>46174</c:v>
                </c:pt>
                <c:pt idx="42">
                  <c:v>46204</c:v>
                </c:pt>
                <c:pt idx="43">
                  <c:v>46235</c:v>
                </c:pt>
                <c:pt idx="44">
                  <c:v>46266</c:v>
                </c:pt>
                <c:pt idx="45">
                  <c:v>46296</c:v>
                </c:pt>
                <c:pt idx="46">
                  <c:v>46327</c:v>
                </c:pt>
                <c:pt idx="47">
                  <c:v>46357</c:v>
                </c:pt>
                <c:pt idx="48">
                  <c:v>46388</c:v>
                </c:pt>
                <c:pt idx="49">
                  <c:v>46419</c:v>
                </c:pt>
                <c:pt idx="50">
                  <c:v>46447</c:v>
                </c:pt>
                <c:pt idx="51">
                  <c:v>46478</c:v>
                </c:pt>
                <c:pt idx="52">
                  <c:v>46508</c:v>
                </c:pt>
                <c:pt idx="53">
                  <c:v>46539</c:v>
                </c:pt>
                <c:pt idx="54">
                  <c:v>46569</c:v>
                </c:pt>
                <c:pt idx="55">
                  <c:v>46600</c:v>
                </c:pt>
                <c:pt idx="56">
                  <c:v>46631</c:v>
                </c:pt>
                <c:pt idx="57">
                  <c:v>46661</c:v>
                </c:pt>
                <c:pt idx="58">
                  <c:v>46692</c:v>
                </c:pt>
                <c:pt idx="59">
                  <c:v>46722</c:v>
                </c:pt>
                <c:pt idx="60">
                  <c:v>46753</c:v>
                </c:pt>
                <c:pt idx="61">
                  <c:v>46784</c:v>
                </c:pt>
                <c:pt idx="62">
                  <c:v>46813</c:v>
                </c:pt>
                <c:pt idx="63">
                  <c:v>46844</c:v>
                </c:pt>
                <c:pt idx="64">
                  <c:v>46874</c:v>
                </c:pt>
                <c:pt idx="65">
                  <c:v>46905</c:v>
                </c:pt>
                <c:pt idx="66">
                  <c:v>46935</c:v>
                </c:pt>
                <c:pt idx="67">
                  <c:v>46966</c:v>
                </c:pt>
                <c:pt idx="68">
                  <c:v>46997</c:v>
                </c:pt>
                <c:pt idx="69">
                  <c:v>47027</c:v>
                </c:pt>
                <c:pt idx="70">
                  <c:v>47058</c:v>
                </c:pt>
                <c:pt idx="71">
                  <c:v>47088</c:v>
                </c:pt>
                <c:pt idx="72">
                  <c:v>47119</c:v>
                </c:pt>
                <c:pt idx="73">
                  <c:v>47150</c:v>
                </c:pt>
                <c:pt idx="74">
                  <c:v>47178</c:v>
                </c:pt>
                <c:pt idx="75">
                  <c:v>47209</c:v>
                </c:pt>
                <c:pt idx="76">
                  <c:v>47239</c:v>
                </c:pt>
                <c:pt idx="77">
                  <c:v>47270</c:v>
                </c:pt>
                <c:pt idx="78">
                  <c:v>47300</c:v>
                </c:pt>
                <c:pt idx="79">
                  <c:v>47331</c:v>
                </c:pt>
                <c:pt idx="80">
                  <c:v>47362</c:v>
                </c:pt>
                <c:pt idx="81">
                  <c:v>47392</c:v>
                </c:pt>
                <c:pt idx="82">
                  <c:v>47423</c:v>
                </c:pt>
                <c:pt idx="83">
                  <c:v>47453</c:v>
                </c:pt>
                <c:pt idx="84">
                  <c:v>47484</c:v>
                </c:pt>
                <c:pt idx="85">
                  <c:v>47515</c:v>
                </c:pt>
                <c:pt idx="86">
                  <c:v>47543</c:v>
                </c:pt>
                <c:pt idx="87">
                  <c:v>47574</c:v>
                </c:pt>
                <c:pt idx="88">
                  <c:v>47604</c:v>
                </c:pt>
                <c:pt idx="89">
                  <c:v>47635</c:v>
                </c:pt>
                <c:pt idx="90">
                  <c:v>47665</c:v>
                </c:pt>
                <c:pt idx="91">
                  <c:v>47696</c:v>
                </c:pt>
                <c:pt idx="92">
                  <c:v>47727</c:v>
                </c:pt>
                <c:pt idx="93">
                  <c:v>47757</c:v>
                </c:pt>
                <c:pt idx="94">
                  <c:v>47788</c:v>
                </c:pt>
                <c:pt idx="95">
                  <c:v>47818</c:v>
                </c:pt>
                <c:pt idx="96">
                  <c:v>47849</c:v>
                </c:pt>
                <c:pt idx="97">
                  <c:v>47880</c:v>
                </c:pt>
                <c:pt idx="98">
                  <c:v>47908</c:v>
                </c:pt>
                <c:pt idx="99">
                  <c:v>47939</c:v>
                </c:pt>
                <c:pt idx="100">
                  <c:v>47969</c:v>
                </c:pt>
                <c:pt idx="101">
                  <c:v>48000</c:v>
                </c:pt>
                <c:pt idx="102">
                  <c:v>48030</c:v>
                </c:pt>
                <c:pt idx="103">
                  <c:v>48061</c:v>
                </c:pt>
                <c:pt idx="104">
                  <c:v>48092</c:v>
                </c:pt>
                <c:pt idx="105">
                  <c:v>48122</c:v>
                </c:pt>
                <c:pt idx="106">
                  <c:v>48153</c:v>
                </c:pt>
                <c:pt idx="107">
                  <c:v>48183</c:v>
                </c:pt>
                <c:pt idx="108">
                  <c:v>48214</c:v>
                </c:pt>
                <c:pt idx="109">
                  <c:v>48245</c:v>
                </c:pt>
                <c:pt idx="110">
                  <c:v>48274</c:v>
                </c:pt>
                <c:pt idx="111">
                  <c:v>48305</c:v>
                </c:pt>
                <c:pt idx="112">
                  <c:v>48335</c:v>
                </c:pt>
                <c:pt idx="113">
                  <c:v>48366</c:v>
                </c:pt>
                <c:pt idx="114">
                  <c:v>48396</c:v>
                </c:pt>
                <c:pt idx="115">
                  <c:v>48427</c:v>
                </c:pt>
                <c:pt idx="116">
                  <c:v>48458</c:v>
                </c:pt>
                <c:pt idx="117">
                  <c:v>48488</c:v>
                </c:pt>
                <c:pt idx="118">
                  <c:v>48519</c:v>
                </c:pt>
                <c:pt idx="119">
                  <c:v>48549</c:v>
                </c:pt>
                <c:pt idx="120">
                  <c:v>48580</c:v>
                </c:pt>
                <c:pt idx="121">
                  <c:v>48611</c:v>
                </c:pt>
                <c:pt idx="122">
                  <c:v>48639</c:v>
                </c:pt>
                <c:pt idx="123">
                  <c:v>48670</c:v>
                </c:pt>
                <c:pt idx="124">
                  <c:v>48700</c:v>
                </c:pt>
                <c:pt idx="125">
                  <c:v>48731</c:v>
                </c:pt>
                <c:pt idx="126">
                  <c:v>48761</c:v>
                </c:pt>
                <c:pt idx="127">
                  <c:v>48792</c:v>
                </c:pt>
                <c:pt idx="128">
                  <c:v>48823</c:v>
                </c:pt>
                <c:pt idx="129">
                  <c:v>48853</c:v>
                </c:pt>
                <c:pt idx="130">
                  <c:v>48884</c:v>
                </c:pt>
                <c:pt idx="131">
                  <c:v>48914</c:v>
                </c:pt>
              </c:numCache>
            </c:numRef>
          </c:cat>
          <c:val>
            <c:numRef>
              <c:f>'TE All % (m)'!$D$19:$EE$19</c:f>
              <c:numCache>
                <c:formatCode>0.0%</c:formatCode>
                <c:ptCount val="132"/>
                <c:pt idx="0">
                  <c:v>0.76189276552363494</c:v>
                </c:pt>
                <c:pt idx="1">
                  <c:v>0.76189276552363494</c:v>
                </c:pt>
                <c:pt idx="2">
                  <c:v>0.75805404103456542</c:v>
                </c:pt>
                <c:pt idx="3">
                  <c:v>0.75805404103456542</c:v>
                </c:pt>
                <c:pt idx="4">
                  <c:v>0.760152467557628</c:v>
                </c:pt>
                <c:pt idx="5">
                  <c:v>0.760152467557628</c:v>
                </c:pt>
                <c:pt idx="6">
                  <c:v>0.83412916558402639</c:v>
                </c:pt>
                <c:pt idx="7">
                  <c:v>0.85791971618663621</c:v>
                </c:pt>
                <c:pt idx="8">
                  <c:v>0.85791971618663621</c:v>
                </c:pt>
                <c:pt idx="9">
                  <c:v>0.87666883021989206</c:v>
                </c:pt>
                <c:pt idx="10">
                  <c:v>0.87015466923230411</c:v>
                </c:pt>
                <c:pt idx="11">
                  <c:v>0.87760288685774557</c:v>
                </c:pt>
                <c:pt idx="12">
                  <c:v>0.89164010584433673</c:v>
                </c:pt>
                <c:pt idx="13">
                  <c:v>0.89106988621603878</c:v>
                </c:pt>
                <c:pt idx="14">
                  <c:v>0.89106988621603878</c:v>
                </c:pt>
                <c:pt idx="15">
                  <c:v>0.89518122918157716</c:v>
                </c:pt>
                <c:pt idx="16">
                  <c:v>0.89518122918157716</c:v>
                </c:pt>
                <c:pt idx="17">
                  <c:v>0.89518122918157716</c:v>
                </c:pt>
                <c:pt idx="18">
                  <c:v>0.89932839187784264</c:v>
                </c:pt>
                <c:pt idx="19">
                  <c:v>0.89932839187784264</c:v>
                </c:pt>
                <c:pt idx="20">
                  <c:v>0.89932839187784264</c:v>
                </c:pt>
                <c:pt idx="21">
                  <c:v>0.89932839187784264</c:v>
                </c:pt>
                <c:pt idx="22">
                  <c:v>0.89932839187784264</c:v>
                </c:pt>
                <c:pt idx="23">
                  <c:v>0.89932839187784264</c:v>
                </c:pt>
                <c:pt idx="24">
                  <c:v>0.89932839187784264</c:v>
                </c:pt>
                <c:pt idx="25">
                  <c:v>0.89932839187784264</c:v>
                </c:pt>
                <c:pt idx="26">
                  <c:v>0.89932839187784264</c:v>
                </c:pt>
                <c:pt idx="27">
                  <c:v>0.89932839187784264</c:v>
                </c:pt>
                <c:pt idx="28">
                  <c:v>0.8946501826205</c:v>
                </c:pt>
                <c:pt idx="29">
                  <c:v>0.8946501826205</c:v>
                </c:pt>
                <c:pt idx="30">
                  <c:v>0.8946501826205</c:v>
                </c:pt>
                <c:pt idx="31">
                  <c:v>0.8946501826205</c:v>
                </c:pt>
                <c:pt idx="32">
                  <c:v>0.8946501826205</c:v>
                </c:pt>
                <c:pt idx="33">
                  <c:v>0.8946501826205</c:v>
                </c:pt>
                <c:pt idx="34">
                  <c:v>0.89468066749771458</c:v>
                </c:pt>
                <c:pt idx="35">
                  <c:v>0.89468066749771458</c:v>
                </c:pt>
                <c:pt idx="36">
                  <c:v>0.89468066749771458</c:v>
                </c:pt>
                <c:pt idx="37">
                  <c:v>0.89468066749771458</c:v>
                </c:pt>
                <c:pt idx="38">
                  <c:v>0.89468066749771458</c:v>
                </c:pt>
                <c:pt idx="39">
                  <c:v>0.89468066749771458</c:v>
                </c:pt>
                <c:pt idx="40">
                  <c:v>0.89258224097465189</c:v>
                </c:pt>
                <c:pt idx="41">
                  <c:v>0.89258224097465189</c:v>
                </c:pt>
                <c:pt idx="42">
                  <c:v>0.89050957417283561</c:v>
                </c:pt>
                <c:pt idx="43">
                  <c:v>0.89050957417283561</c:v>
                </c:pt>
                <c:pt idx="44">
                  <c:v>0.89050957417283561</c:v>
                </c:pt>
                <c:pt idx="45">
                  <c:v>0.89050957417283561</c:v>
                </c:pt>
                <c:pt idx="46">
                  <c:v>0.89050957417283561</c:v>
                </c:pt>
                <c:pt idx="47">
                  <c:v>0.89050957417283561</c:v>
                </c:pt>
                <c:pt idx="48">
                  <c:v>0.89698777569198873</c:v>
                </c:pt>
                <c:pt idx="49">
                  <c:v>0.89698777569198873</c:v>
                </c:pt>
                <c:pt idx="50">
                  <c:v>0.89698777569198873</c:v>
                </c:pt>
                <c:pt idx="51">
                  <c:v>0.89698777569198873</c:v>
                </c:pt>
                <c:pt idx="52">
                  <c:v>0.89698777569198873</c:v>
                </c:pt>
                <c:pt idx="53">
                  <c:v>0.89698777569198873</c:v>
                </c:pt>
                <c:pt idx="54">
                  <c:v>0.89698777569198873</c:v>
                </c:pt>
                <c:pt idx="55">
                  <c:v>0.89698777569198873</c:v>
                </c:pt>
                <c:pt idx="56">
                  <c:v>0.84980556910512139</c:v>
                </c:pt>
                <c:pt idx="57">
                  <c:v>0.84980556910512139</c:v>
                </c:pt>
                <c:pt idx="58">
                  <c:v>0.84980556910512139</c:v>
                </c:pt>
                <c:pt idx="59">
                  <c:v>0.84980556910512139</c:v>
                </c:pt>
                <c:pt idx="60">
                  <c:v>0.88348404518333434</c:v>
                </c:pt>
                <c:pt idx="61">
                  <c:v>0.88348404518333434</c:v>
                </c:pt>
                <c:pt idx="62">
                  <c:v>0.88348404518333434</c:v>
                </c:pt>
                <c:pt idx="63">
                  <c:v>0.88348404518333434</c:v>
                </c:pt>
                <c:pt idx="64">
                  <c:v>0.88348404518333434</c:v>
                </c:pt>
                <c:pt idx="65">
                  <c:v>0.88348404518333434</c:v>
                </c:pt>
                <c:pt idx="66">
                  <c:v>0.88348404518333434</c:v>
                </c:pt>
                <c:pt idx="67">
                  <c:v>0.88348404518333434</c:v>
                </c:pt>
                <c:pt idx="68">
                  <c:v>0.88348404518333434</c:v>
                </c:pt>
                <c:pt idx="69">
                  <c:v>0.88348404518333434</c:v>
                </c:pt>
                <c:pt idx="70">
                  <c:v>0.88348404518333434</c:v>
                </c:pt>
                <c:pt idx="71">
                  <c:v>0.88348404518333434</c:v>
                </c:pt>
                <c:pt idx="72">
                  <c:v>0.89542512401265417</c:v>
                </c:pt>
                <c:pt idx="73">
                  <c:v>0.89542512401265417</c:v>
                </c:pt>
                <c:pt idx="74">
                  <c:v>0.89542512401265417</c:v>
                </c:pt>
                <c:pt idx="75">
                  <c:v>0.89104536170324189</c:v>
                </c:pt>
                <c:pt idx="76">
                  <c:v>0.89524206232498094</c:v>
                </c:pt>
                <c:pt idx="77">
                  <c:v>0.89524206232498094</c:v>
                </c:pt>
                <c:pt idx="78">
                  <c:v>0.89938922502124641</c:v>
                </c:pt>
                <c:pt idx="79">
                  <c:v>0.89519252439950736</c:v>
                </c:pt>
                <c:pt idx="80">
                  <c:v>0.89519252439950736</c:v>
                </c:pt>
                <c:pt idx="81">
                  <c:v>0.89309638424223592</c:v>
                </c:pt>
                <c:pt idx="82">
                  <c:v>0.89309638424223592</c:v>
                </c:pt>
                <c:pt idx="83">
                  <c:v>0.89309638424223592</c:v>
                </c:pt>
                <c:pt idx="84">
                  <c:v>0.87700814271665062</c:v>
                </c:pt>
                <c:pt idx="85">
                  <c:v>0.87700814271665062</c:v>
                </c:pt>
                <c:pt idx="86">
                  <c:v>0.87700814271665062</c:v>
                </c:pt>
                <c:pt idx="87">
                  <c:v>0.87700814271665062</c:v>
                </c:pt>
                <c:pt idx="88">
                  <c:v>0.87700814271665062</c:v>
                </c:pt>
                <c:pt idx="89">
                  <c:v>0.87700814271665062</c:v>
                </c:pt>
                <c:pt idx="90">
                  <c:v>0.900598560100347</c:v>
                </c:pt>
                <c:pt idx="91">
                  <c:v>0.900598560100347</c:v>
                </c:pt>
                <c:pt idx="92">
                  <c:v>0.900598560100347</c:v>
                </c:pt>
                <c:pt idx="93">
                  <c:v>0.900598560100347</c:v>
                </c:pt>
                <c:pt idx="94">
                  <c:v>0.900598560100347</c:v>
                </c:pt>
                <c:pt idx="95">
                  <c:v>0.900598560100347</c:v>
                </c:pt>
                <c:pt idx="96">
                  <c:v>0.900598560100347</c:v>
                </c:pt>
                <c:pt idx="97">
                  <c:v>0.900598560100347</c:v>
                </c:pt>
                <c:pt idx="98">
                  <c:v>0.900598560100347</c:v>
                </c:pt>
                <c:pt idx="99">
                  <c:v>0.900598560100347</c:v>
                </c:pt>
                <c:pt idx="100">
                  <c:v>0.900598560100347</c:v>
                </c:pt>
                <c:pt idx="101">
                  <c:v>0.900598560100347</c:v>
                </c:pt>
                <c:pt idx="102">
                  <c:v>0.900598560100347</c:v>
                </c:pt>
                <c:pt idx="103">
                  <c:v>0.900598560100347</c:v>
                </c:pt>
                <c:pt idx="104">
                  <c:v>0.900598560100347</c:v>
                </c:pt>
                <c:pt idx="105">
                  <c:v>0.900598560100347</c:v>
                </c:pt>
                <c:pt idx="106">
                  <c:v>0.900598560100347</c:v>
                </c:pt>
                <c:pt idx="107">
                  <c:v>0.900598560100347</c:v>
                </c:pt>
                <c:pt idx="108">
                  <c:v>0.900598560100347</c:v>
                </c:pt>
                <c:pt idx="109">
                  <c:v>0.900598560100347</c:v>
                </c:pt>
                <c:pt idx="110">
                  <c:v>0.900598560100347</c:v>
                </c:pt>
                <c:pt idx="111">
                  <c:v>0.900598560100347</c:v>
                </c:pt>
                <c:pt idx="112">
                  <c:v>0.900598560100347</c:v>
                </c:pt>
                <c:pt idx="113">
                  <c:v>0.900598560100347</c:v>
                </c:pt>
                <c:pt idx="114">
                  <c:v>0.900598560100347</c:v>
                </c:pt>
                <c:pt idx="115">
                  <c:v>0.900598560100347</c:v>
                </c:pt>
                <c:pt idx="116">
                  <c:v>0.900598560100347</c:v>
                </c:pt>
                <c:pt idx="117">
                  <c:v>0.900598560100347</c:v>
                </c:pt>
                <c:pt idx="118">
                  <c:v>0.900598560100347</c:v>
                </c:pt>
                <c:pt idx="119">
                  <c:v>0.900598560100347</c:v>
                </c:pt>
                <c:pt idx="120">
                  <c:v>0.900598560100347</c:v>
                </c:pt>
                <c:pt idx="121">
                  <c:v>0.900598560100347</c:v>
                </c:pt>
                <c:pt idx="122">
                  <c:v>0.900598560100347</c:v>
                </c:pt>
                <c:pt idx="123">
                  <c:v>0.900598560100347</c:v>
                </c:pt>
                <c:pt idx="124">
                  <c:v>0.900598560100347</c:v>
                </c:pt>
                <c:pt idx="125">
                  <c:v>0.900598560100347</c:v>
                </c:pt>
                <c:pt idx="126">
                  <c:v>0.900598560100347</c:v>
                </c:pt>
                <c:pt idx="127">
                  <c:v>0.900598560100347</c:v>
                </c:pt>
                <c:pt idx="128">
                  <c:v>0.900598560100347</c:v>
                </c:pt>
                <c:pt idx="129">
                  <c:v>0.900598560100347</c:v>
                </c:pt>
                <c:pt idx="130">
                  <c:v>0.900598560100347</c:v>
                </c:pt>
                <c:pt idx="131">
                  <c:v>0.900598560100347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2D4C-A44B-C1F8ED9B08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24494128"/>
        <c:axId val="1024495856"/>
      </c:lineChart>
      <c:dateAx>
        <c:axId val="1024494128"/>
        <c:scaling>
          <c:orientation val="minMax"/>
        </c:scaling>
        <c:delete val="0"/>
        <c:axPos val="b"/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5856"/>
        <c:crosses val="autoZero"/>
        <c:auto val="1"/>
        <c:lblOffset val="100"/>
        <c:baseTimeUnit val="months"/>
      </c:dateAx>
      <c:valAx>
        <c:axId val="1024495856"/>
        <c:scaling>
          <c:orientation val="minMax"/>
          <c:max val="0.9"/>
          <c:min val="0.7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4128"/>
        <c:crosses val="autoZero"/>
        <c:crossBetween val="between"/>
        <c:majorUnit val="5.0000000000000001E-3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0</xdr:col>
      <xdr:colOff>542736</xdr:colOff>
      <xdr:row>16</xdr:row>
      <xdr:rowOff>238803</xdr:rowOff>
    </xdr:from>
    <xdr:to>
      <xdr:col>1</xdr:col>
      <xdr:colOff>151967</xdr:colOff>
      <xdr:row>20</xdr:row>
      <xdr:rowOff>238803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0A07A2-91C8-AB4B-AFDD-144CFD54A727}"/>
            </a:ext>
          </a:extLst>
        </xdr:cNvPr>
        <xdr:cNvSpPr txBox="1"/>
      </xdr:nvSpPr>
      <xdr:spPr>
        <a:xfrm rot="16200000">
          <a:off x="237868" y="1215165"/>
          <a:ext cx="1051035" cy="4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C9BA61-06D3-684F-9F44-A512746E8D07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2</xdr:col>
      <xdr:colOff>185269</xdr:colOff>
      <xdr:row>24</xdr:row>
      <xdr:rowOff>87655</xdr:rowOff>
    </xdr:from>
    <xdr:to>
      <xdr:col>56</xdr:col>
      <xdr:colOff>779824</xdr:colOff>
      <xdr:row>145</xdr:row>
      <xdr:rowOff>133684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BA822D-077C-BF98-4BF5-B8C1F397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542736</xdr:colOff>
      <xdr:row>14</xdr:row>
      <xdr:rowOff>238803</xdr:rowOff>
    </xdr:from>
    <xdr:to>
      <xdr:col>1</xdr:col>
      <xdr:colOff>151967</xdr:colOff>
      <xdr:row>18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D2E5FD-FEBC-ED48-8017-051F4D19B3B8}"/>
            </a:ext>
          </a:extLst>
        </xdr:cNvPr>
        <xdr:cNvSpPr txBox="1"/>
      </xdr:nvSpPr>
      <xdr:spPr>
        <a:xfrm rot="16200000">
          <a:off x="225012" y="1220655"/>
          <a:ext cx="1071927" cy="436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705414</xdr:colOff>
      <xdr:row>31</xdr:row>
      <xdr:rowOff>82998</xdr:rowOff>
    </xdr:from>
    <xdr:to>
      <xdr:col>57</xdr:col>
      <xdr:colOff>50800</xdr:colOff>
      <xdr:row>179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BE05D-85B1-638D-D3F6-5FA750321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N24" totalsRowCount="1" headerRowDxfId="276" dataDxfId="275" totalsRowDxfId="274" headerRowCellStyle="Comma" dataCellStyle="Comma">
  <autoFilter ref="B12:N23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3DA6FCF-5860-0F44-9DF1-11C0318051C4}" name="Products" totalsRowLabel="Total (IDR)" dataDxfId="273" totalsRowDxfId="272"/>
    <tableColumn id="13" xr3:uid="{6FE1231D-5BAB-2D4D-A5D6-C4FC65BF3EAD}" name="2022" totalsRowFunction="sum" dataDxfId="271" totalsRowDxfId="270" dataCellStyle="Comma"/>
    <tableColumn id="12" xr3:uid="{85475C21-3329-2B45-8444-CA94C08A4946}" name="2023" totalsRowFunction="sum" dataDxfId="269" totalsRowDxfId="268" dataCellStyle="Comma"/>
    <tableColumn id="2" xr3:uid="{39720F4C-EDD5-7B48-9B96-FD9488CF7B6F}" name="2024" totalsRowFunction="sum" dataDxfId="267" totalsRowDxfId="266" dataCellStyle="Comma"/>
    <tableColumn id="3" xr3:uid="{0994F7B4-B62D-534F-9417-0249F38ADE67}" name="2025" totalsRowFunction="sum" dataDxfId="265" totalsRowDxfId="264" dataCellStyle="Comma"/>
    <tableColumn id="4" xr3:uid="{BF5E00BE-9F6A-514F-89E9-FCB3BA9FBE7E}" name="2026" totalsRowFunction="sum" dataDxfId="263" totalsRowDxfId="262" dataCellStyle="Comma"/>
    <tableColumn id="5" xr3:uid="{558C3BB7-E01B-4041-A52C-470E15F68511}" name="2027" totalsRowFunction="sum" dataDxfId="261" totalsRowDxfId="260" dataCellStyle="Comma"/>
    <tableColumn id="6" xr3:uid="{F85D5229-9BC7-6441-95EE-D5D053C638B7}" name="2028" totalsRowFunction="sum" dataDxfId="259" totalsRowDxfId="258" dataCellStyle="Comma"/>
    <tableColumn id="7" xr3:uid="{0358E158-5480-1945-AEC6-9C9BE0041972}" name="2029" totalsRowFunction="sum" dataDxfId="257" totalsRowDxfId="256" dataCellStyle="Comma"/>
    <tableColumn id="8" xr3:uid="{AD2569E3-CD58-DB43-9407-E9740AD84292}" name="2030" totalsRowFunction="sum" dataDxfId="255" totalsRowDxfId="254" dataCellStyle="Comma"/>
    <tableColumn id="9" xr3:uid="{7561F271-4CC3-5147-8982-B20E91E439A9}" name="2031" totalsRowFunction="sum" dataDxfId="253" totalsRowDxfId="252" dataCellStyle="Comma"/>
    <tableColumn id="10" xr3:uid="{BECB626F-1389-A74E-BD36-D45CF00BA3A5}" name="2032" totalsRowFunction="sum" dataDxfId="251" totalsRowDxfId="250" dataCellStyle="Comma"/>
    <tableColumn id="11" xr3:uid="{B473C967-9544-AA40-854E-CE88ACD5AB6C}" name="2033" totalsRowFunction="sum" dataDxfId="249" totalsRowDxfId="248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3:N6" totalsRowShown="0" headerRowDxfId="247" tableBorderDxfId="246" headerRowCellStyle="Comma">
  <autoFilter ref="B3:N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8CEC505-5A9A-C44C-8790-B14B27FBB7FB}" name="Property" dataDxfId="245"/>
    <tableColumn id="13" xr3:uid="{6494F86F-AA18-1546-B309-B75D30475B2C}" name="2022" dataDxfId="244"/>
    <tableColumn id="2" xr3:uid="{9ABCC90A-BD0D-A541-B580-DF5852DC5A91}" name="2023" dataDxfId="243">
      <calculatedColumnFormula>'TE All % (y)'!D19</calculatedColumnFormula>
    </tableColumn>
    <tableColumn id="3" xr3:uid="{EAA55AE6-2F81-4942-B521-BE73C06C24C2}" name="2024"/>
    <tableColumn id="4" xr3:uid="{15467A5D-46B5-1C48-9EDA-1FE519034F37}" name="2025"/>
    <tableColumn id="5" xr3:uid="{663F58AD-1408-8D4C-ACFC-FBB7B248AAD4}" name="2026"/>
    <tableColumn id="6" xr3:uid="{FDF7180F-ABB0-9E4E-85FC-20C3CFEC9AF8}" name="2027"/>
    <tableColumn id="7" xr3:uid="{1F58A400-5A6E-5148-834D-FA92A7883218}" name="2028"/>
    <tableColumn id="8" xr3:uid="{62C6EAB4-93B5-DD49-81E9-122F943B3B01}" name="2029"/>
    <tableColumn id="9" xr3:uid="{7707028A-249E-8340-B080-AA47207986B1}" name="2030"/>
    <tableColumn id="10" xr3:uid="{B7457668-C061-FC45-9700-A28A5DF9C3CC}" name="2031"/>
    <tableColumn id="11" xr3:uid="{3E833AA7-121B-0940-BBEB-C0BBAAA3E690}" name="2032"/>
    <tableColumn id="12" xr3:uid="{20619638-82FE-6A4F-8999-FA5B9C3D7F0B}" name="20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Q5" headerRowDxfId="242" dataDxfId="241" totalsRowDxfId="240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9F340BB-11FC-2C48-B69C-142164A888EA}" name="Produk" totalsRowLabel="Total" dataDxfId="239"/>
    <tableColumn id="2" xr3:uid="{2B1CCD52-0B57-AE43-9C86-45DD61C25858}" name="2019" totalsRowFunction="sum" dataDxfId="238" dataCellStyle="Comma">
      <calculatedColumnFormula>$C$13</calculatedColumnFormula>
    </tableColumn>
    <tableColumn id="3" xr3:uid="{B3959DCD-8B88-6743-B7BD-90FB273FDD75}" name="2020" totalsRowFunction="sum" dataDxfId="237" totalsRowDxfId="236" dataCellStyle="Comma">
      <calculatedColumnFormula>$C$13</calculatedColumnFormula>
    </tableColumn>
    <tableColumn id="4" xr3:uid="{5C2B67C1-E6FB-C342-8D11-D84155D57722}" name="2021" totalsRowFunction="sum" dataDxfId="235" totalsRowDxfId="234" dataCellStyle="Comma">
      <calculatedColumnFormula>$C$13</calculatedColumnFormula>
    </tableColumn>
    <tableColumn id="5" xr3:uid="{BD4B3AD5-EF20-2E41-AAE9-C449FBE6EBED}" name="2022" totalsRowFunction="sum" dataDxfId="233" totalsRowDxfId="232" dataCellStyle="Comma">
      <calculatedColumnFormula>$C$13</calculatedColumnFormula>
    </tableColumn>
    <tableColumn id="6" xr3:uid="{0BCB1F53-3AFA-9248-B92C-FD192EA39765}" name="2023" totalsRowFunction="sum" dataDxfId="231" dataCellStyle="Comma">
      <calculatedColumnFormula>$C$17</calculatedColumnFormula>
    </tableColumn>
    <tableColumn id="7" xr3:uid="{619BD53B-7FEB-E244-8BE1-662D18A71EC8}" name="2024" dataDxfId="230" totalsRowDxfId="229" dataCellStyle="Comma">
      <calculatedColumnFormula>$C$17</calculatedColumnFormula>
    </tableColumn>
    <tableColumn id="8" xr3:uid="{C2DAE3E4-F421-2646-9C3B-D49B961BFAE8}" name="2025" dataDxfId="228" totalsRowDxfId="227" dataCellStyle="Comma">
      <calculatedColumnFormula>$C$17</calculatedColumnFormula>
    </tableColumn>
    <tableColumn id="9" xr3:uid="{86937C3C-E018-DD45-AC99-F0436F21D37E}" name="2026" dataDxfId="226" totalsRowDxfId="225" dataCellStyle="Comma">
      <calculatedColumnFormula>$C$17</calculatedColumnFormula>
    </tableColumn>
    <tableColumn id="10" xr3:uid="{0ED2701F-7272-7F4F-BDAC-5A0B36F34735}" name="2027" dataDxfId="224" totalsRowDxfId="223" dataCellStyle="Comma">
      <calculatedColumnFormula>$C$17</calculatedColumnFormula>
    </tableColumn>
    <tableColumn id="11" xr3:uid="{924953E8-0B08-084C-88A4-2E9D4ED12687}" name="2028" dataDxfId="222" totalsRowDxfId="221" dataCellStyle="Comma">
      <calculatedColumnFormula>$C$17</calculatedColumnFormula>
    </tableColumn>
    <tableColumn id="12" xr3:uid="{CEC3F315-2D2D-2E49-86D2-AC75553FF7CC}" name="2029" dataDxfId="220" totalsRowDxfId="219" dataCellStyle="Comma">
      <calculatedColumnFormula>$C$17</calculatedColumnFormula>
    </tableColumn>
    <tableColumn id="13" xr3:uid="{3E32D8D0-438C-544C-AE07-B7766903BA6C}" name="2030" dataDxfId="218" totalsRowDxfId="217" dataCellStyle="Comma">
      <calculatedColumnFormula>$C$17</calculatedColumnFormula>
    </tableColumn>
    <tableColumn id="14" xr3:uid="{253B6EAB-1714-D944-9EC6-E76956CEEA2E}" name="2031" dataDxfId="216" totalsRowDxfId="215" dataCellStyle="Comma">
      <calculatedColumnFormula>$C$17</calculatedColumnFormula>
    </tableColumn>
    <tableColumn id="15" xr3:uid="{5944E335-1D68-4F4D-9F09-0FF522318C19}" name="2032" dataDxfId="214" totalsRowDxfId="213" dataCellStyle="Comma">
      <calculatedColumnFormula>$C$17</calculatedColumnFormula>
    </tableColumn>
    <tableColumn id="16" xr3:uid="{FB81225F-568D-F240-B96D-077B2CE657C7}" name="2033" dataDxfId="212" totalsRowDxfId="211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Q5" headerRowDxfId="210" dataDxfId="209" totalsRowDxfId="208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BFD87E0-307E-A346-9C12-D59589250C88}" name="Produk" totalsRowLabel="Total" dataDxfId="207"/>
    <tableColumn id="2" xr3:uid="{968525AF-9A75-2E44-BD06-AB6B9951BB35}" name="2019" totalsRowFunction="sum" dataDxfId="206" totalsRowDxfId="205" dataCellStyle="Comma">
      <calculatedColumnFormula>#REF!</calculatedColumnFormula>
    </tableColumn>
    <tableColumn id="3" xr3:uid="{77B1E53B-BEFB-A94B-B3A4-961E7F2EDB56}" name="2020" totalsRowFunction="sum" dataDxfId="204" totalsRowDxfId="203" dataCellStyle="Comma">
      <calculatedColumnFormula>#REF!</calculatedColumnFormula>
    </tableColumn>
    <tableColumn id="4" xr3:uid="{96632A6A-B9AD-F349-B2A8-AF5BB8455E0D}" name="2021" totalsRowFunction="sum" dataDxfId="202" totalsRowDxfId="201" dataCellStyle="Comma">
      <calculatedColumnFormula>#REF!</calculatedColumnFormula>
    </tableColumn>
    <tableColumn id="5" xr3:uid="{FF7AB7B8-0072-BC40-AF54-9293570E7C76}" name="2022" totalsRowFunction="sum" dataDxfId="200" totalsRowDxfId="199" dataCellStyle="Comma">
      <calculatedColumnFormula>#REF!</calculatedColumnFormula>
    </tableColumn>
    <tableColumn id="6" xr3:uid="{5DD61822-2AB9-3149-BF22-B919056AABCB}" name="2023" totalsRowFunction="sum" dataDxfId="198" dataCellStyle="Comma">
      <calculatedColumnFormula>#REF!</calculatedColumnFormula>
    </tableColumn>
    <tableColumn id="7" xr3:uid="{3773122B-9B13-084F-B2AF-167F2BD53E5E}" name="2024" dataDxfId="197" totalsRowDxfId="196" dataCellStyle="Comma">
      <calculatedColumnFormula>#REF!</calculatedColumnFormula>
    </tableColumn>
    <tableColumn id="8" xr3:uid="{E69D5601-AC96-A14E-920B-763C0145CB77}" name="2025" dataDxfId="195" totalsRowDxfId="194" dataCellStyle="Comma">
      <calculatedColumnFormula>#REF!</calculatedColumnFormula>
    </tableColumn>
    <tableColumn id="9" xr3:uid="{18DB03C9-598D-F249-B274-D3EF93826CC5}" name="2026" dataDxfId="193" totalsRowDxfId="192" dataCellStyle="Comma">
      <calculatedColumnFormula>#REF!</calculatedColumnFormula>
    </tableColumn>
    <tableColumn id="10" xr3:uid="{8D797980-B65E-A648-AA40-32BC96023834}" name="2027" dataDxfId="191" totalsRowDxfId="190" dataCellStyle="Comma">
      <calculatedColumnFormula>#REF!</calculatedColumnFormula>
    </tableColumn>
    <tableColumn id="11" xr3:uid="{851A9367-4BAD-9E48-BC90-556E33B13381}" name="2028" dataDxfId="189" totalsRowDxfId="188" dataCellStyle="Comma">
      <calculatedColumnFormula>#REF!</calculatedColumnFormula>
    </tableColumn>
    <tableColumn id="12" xr3:uid="{8FF7E486-9DA2-624E-BE69-F34407DB907C}" name="2029" dataDxfId="187" totalsRowDxfId="186" dataCellStyle="Comma">
      <calculatedColumnFormula>#REF!</calculatedColumnFormula>
    </tableColumn>
    <tableColumn id="13" xr3:uid="{10581223-ACA5-C44A-93A3-C7BB88D90041}" name="2030" dataDxfId="185" totalsRowDxfId="184" dataCellStyle="Comma">
      <calculatedColumnFormula>#REF!</calculatedColumnFormula>
    </tableColumn>
    <tableColumn id="14" xr3:uid="{FD519FB0-316F-794B-B2D5-6EC639574CCC}" name="2031" dataDxfId="183" totalsRowDxfId="182" dataCellStyle="Comma">
      <calculatedColumnFormula>#REF!</calculatedColumnFormula>
    </tableColumn>
    <tableColumn id="15" xr3:uid="{EF1B48BD-4B23-C048-984F-969A36EC6CE1}" name="2032" dataDxfId="181" totalsRowDxfId="180" dataCellStyle="Comma">
      <calculatedColumnFormula>#REF!</calculatedColumnFormula>
    </tableColumn>
    <tableColumn id="16" xr3:uid="{2A6D7BE6-2128-8F44-9E67-0721563F248F}" name="2033" dataDxfId="179" totalsRowDxfId="178" dataCellStyle="Comm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Q10" headerRowDxfId="177" dataDxfId="176" totalsRowDxfId="175" dataCellStyle="Comma">
  <autoFilter ref="B8:Q10" xr:uid="{E6BE8819-74EF-0243-83D9-EC696A1D351F}"/>
  <tableColumns count="16">
    <tableColumn id="1" xr3:uid="{D0D2885A-4D5E-4E46-B852-6808DA59D313}" name="Produk" totalsRowLabel="Total" dataDxfId="174"/>
    <tableColumn id="2" xr3:uid="{1CB01F6E-B1ED-D64D-B0BD-23E3E53023F6}" name="2019" totalsRowFunction="sum" dataDxfId="173" totalsRowDxfId="172" dataCellStyle="Comma">
      <calculatedColumnFormula>#REF!</calculatedColumnFormula>
    </tableColumn>
    <tableColumn id="3" xr3:uid="{DCB192C3-91DC-3E45-AEC4-E3D2C137A2D5}" name="2020" totalsRowFunction="sum" dataDxfId="171" totalsRowDxfId="170" dataCellStyle="Comma">
      <calculatedColumnFormula>#REF!</calculatedColumnFormula>
    </tableColumn>
    <tableColumn id="4" xr3:uid="{E6C180DE-2772-2441-93FB-B7588E5B6492}" name="2021" totalsRowFunction="sum" dataDxfId="169" totalsRowDxfId="168" dataCellStyle="Comma">
      <calculatedColumnFormula>#REF!</calculatedColumnFormula>
    </tableColumn>
    <tableColumn id="5" xr3:uid="{469CD3CF-6462-744C-8BAC-E6F03647D632}" name="2022" totalsRowFunction="sum" dataDxfId="167" totalsRowDxfId="166" dataCellStyle="Comma">
      <calculatedColumnFormula>#REF!</calculatedColumnFormula>
    </tableColumn>
    <tableColumn id="6" xr3:uid="{7F9C2994-4595-BC48-95E7-29BC35B73576}" name="2023" totalsRowFunction="sum" dataDxfId="165" dataCellStyle="Comma">
      <calculatedColumnFormula>#REF!</calculatedColumnFormula>
    </tableColumn>
    <tableColumn id="7" xr3:uid="{8B6255D9-4CA7-434B-A5E8-FBACB2C83FDD}" name="2024" dataDxfId="164" totalsRowDxfId="163" dataCellStyle="Comma">
      <calculatedColumnFormula>#REF!</calculatedColumnFormula>
    </tableColumn>
    <tableColumn id="8" xr3:uid="{F160CBDA-6556-D34B-AFEF-9A4DA3F946CA}" name="2025" dataDxfId="162" totalsRowDxfId="161" dataCellStyle="Comma">
      <calculatedColumnFormula>#REF!</calculatedColumnFormula>
    </tableColumn>
    <tableColumn id="9" xr3:uid="{79196D24-F3A6-5F45-ACB0-1B5911C1DAA0}" name="2026" dataDxfId="160" totalsRowDxfId="159" dataCellStyle="Comma">
      <calculatedColumnFormula>#REF!</calculatedColumnFormula>
    </tableColumn>
    <tableColumn id="10" xr3:uid="{3A202091-9A8A-F349-AFAC-D3575E626EFF}" name="2027" dataDxfId="158" totalsRowDxfId="157" dataCellStyle="Comma">
      <calculatedColumnFormula>#REF!</calculatedColumnFormula>
    </tableColumn>
    <tableColumn id="11" xr3:uid="{43710266-79F5-7448-ACB8-EA6AF60CF213}" name="2028" dataDxfId="156" totalsRowDxfId="155" dataCellStyle="Comma">
      <calculatedColumnFormula>#REF!</calculatedColumnFormula>
    </tableColumn>
    <tableColumn id="12" xr3:uid="{4D0F16A8-89B3-9941-B93B-FECD100FF689}" name="2029" dataDxfId="154" totalsRowDxfId="153" dataCellStyle="Comma">
      <calculatedColumnFormula>#REF!</calculatedColumnFormula>
    </tableColumn>
    <tableColumn id="13" xr3:uid="{6D5B7FE3-4080-6944-BA37-48AE65C1E6B7}" name="2030" dataDxfId="152" totalsRowDxfId="151" dataCellStyle="Comma">
      <calculatedColumnFormula>#REF!</calculatedColumnFormula>
    </tableColumn>
    <tableColumn id="14" xr3:uid="{53FC9BDF-6F34-4444-9FB2-388FA7A90D9D}" name="2031" dataDxfId="150" totalsRowDxfId="149" dataCellStyle="Comma">
      <calculatedColumnFormula>#REF!</calculatedColumnFormula>
    </tableColumn>
    <tableColumn id="15" xr3:uid="{761F26F3-7DA1-C04C-836A-10D25F8EBECB}" name="2032" dataDxfId="148" totalsRowDxfId="147" dataCellStyle="Comma">
      <calculatedColumnFormula>#REF!</calculatedColumnFormula>
    </tableColumn>
    <tableColumn id="16" xr3:uid="{5CF97722-DBE3-0540-9442-2755B648C6C5}" name="2033" dataDxfId="146" totalsRowDxfId="145" dataCellStyle="Comm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Q5" headerRowDxfId="144" dataDxfId="143" totalsRowDxfId="142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430FCAC-20A0-D747-85F5-8F09948DD449}" name="Produk" totalsRowLabel="Total" dataDxfId="141"/>
    <tableColumn id="2" xr3:uid="{BF9FD117-9D89-6545-A8DD-0203102DDDAC}" name="2019" totalsRowFunction="sum" dataDxfId="140" totalsRowDxfId="139" dataCellStyle="Comma">
      <calculatedColumnFormula>#REF!</calculatedColumnFormula>
    </tableColumn>
    <tableColumn id="3" xr3:uid="{2818C4A9-7E04-0B46-95F9-DE5A3B3080A5}" name="2020" totalsRowFunction="sum" dataDxfId="138" totalsRowDxfId="137" dataCellStyle="Comma">
      <calculatedColumnFormula>#REF!</calculatedColumnFormula>
    </tableColumn>
    <tableColumn id="4" xr3:uid="{CA0DEA62-D652-F241-9090-9124BB9D4F97}" name="2021" totalsRowFunction="sum" dataDxfId="136" totalsRowDxfId="135" dataCellStyle="Comma">
      <calculatedColumnFormula>#REF!</calculatedColumnFormula>
    </tableColumn>
    <tableColumn id="5" xr3:uid="{B4FF4845-3D08-7646-9D46-E1C192E017C8}" name="2022" totalsRowFunction="sum" dataDxfId="134" totalsRowDxfId="133" dataCellStyle="Comma">
      <calculatedColumnFormula>#REF!</calculatedColumnFormula>
    </tableColumn>
    <tableColumn id="6" xr3:uid="{F37F8168-78DB-294A-BE79-CEFAF8321122}" name="2023" totalsRowFunction="sum" dataDxfId="132" dataCellStyle="Comma">
      <calculatedColumnFormula>#REF!</calculatedColumnFormula>
    </tableColumn>
    <tableColumn id="7" xr3:uid="{313A481D-E690-5E40-9356-32C8A89361D8}" name="2024" dataDxfId="131" totalsRowDxfId="130" dataCellStyle="Comma">
      <calculatedColumnFormula>#REF!</calculatedColumnFormula>
    </tableColumn>
    <tableColumn id="8" xr3:uid="{BEDFD046-BF60-8547-8C20-D084BA6D3A8F}" name="2025" dataDxfId="129" totalsRowDxfId="128" dataCellStyle="Comma">
      <calculatedColumnFormula>#REF!</calculatedColumnFormula>
    </tableColumn>
    <tableColumn id="9" xr3:uid="{93344613-7617-C24D-8D5D-C6205EDB39C0}" name="2026" dataDxfId="127" totalsRowDxfId="126" dataCellStyle="Comma">
      <calculatedColumnFormula>#REF!</calculatedColumnFormula>
    </tableColumn>
    <tableColumn id="10" xr3:uid="{A1141682-AB8B-4045-93AA-7AF20DD95FCF}" name="2027" dataDxfId="125" totalsRowDxfId="124" dataCellStyle="Comma">
      <calculatedColumnFormula>#REF!</calculatedColumnFormula>
    </tableColumn>
    <tableColumn id="11" xr3:uid="{848922CD-D37A-784E-B406-FF7DB6A3FFD9}" name="2028" dataDxfId="123" totalsRowDxfId="122" dataCellStyle="Comma">
      <calculatedColumnFormula>#REF!</calculatedColumnFormula>
    </tableColumn>
    <tableColumn id="12" xr3:uid="{D6840AD2-CB80-424A-9FC0-F598D076488C}" name="2029" dataDxfId="121" totalsRowDxfId="120" dataCellStyle="Comma">
      <calculatedColumnFormula>#REF!</calculatedColumnFormula>
    </tableColumn>
    <tableColumn id="13" xr3:uid="{3FC5F7F1-EFBB-6B42-B020-BD479DDEF54C}" name="2030" dataDxfId="119" totalsRowDxfId="118" dataCellStyle="Comma">
      <calculatedColumnFormula>#REF!</calculatedColumnFormula>
    </tableColumn>
    <tableColumn id="14" xr3:uid="{59B3D745-E99A-C048-91B4-C30EE30FE030}" name="2031" dataDxfId="117" totalsRowDxfId="116" dataCellStyle="Comma">
      <calculatedColumnFormula>#REF!</calculatedColumnFormula>
    </tableColumn>
    <tableColumn id="15" xr3:uid="{E7C7A760-9A50-EF4E-9F9A-04F5939B53B3}" name="2032" dataDxfId="115" totalsRowDxfId="114" dataCellStyle="Comma">
      <calculatedColumnFormula>#REF!</calculatedColumnFormula>
    </tableColumn>
    <tableColumn id="16" xr3:uid="{BB944AC7-D8FD-F44F-9A54-61CD5925B893}" name="2033" dataDxfId="113" totalsRowDxfId="112" dataCellStyle="Comm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A54A82-C2E5-B541-9D4B-BF73A230D23A}" name="Table3611" displayName="Table3611" ref="B3:Q4" headerRowDxfId="111" dataDxfId="110" totalsRowDxfId="109" dataCellStyle="Comma">
  <autoFilter ref="B3:Q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9F1D652-01FC-0F4F-B272-7895E29F4F03}" name="Produk" totalsRowLabel="Total" dataDxfId="108"/>
    <tableColumn id="2" xr3:uid="{08CE3CF1-1B39-4846-BE33-C2A5784FB62D}" name="2019" totalsRowFunction="sum" dataDxfId="107" totalsRowDxfId="106" dataCellStyle="Comma"/>
    <tableColumn id="3" xr3:uid="{85236793-50D2-D54E-A534-4254DEB1D2D7}" name="2020" totalsRowFunction="sum" dataDxfId="105" totalsRowDxfId="104" dataCellStyle="Comma"/>
    <tableColumn id="4" xr3:uid="{FBEC9341-E781-D24B-ADBB-A77C3BB18355}" name="2021" totalsRowFunction="sum" dataDxfId="103" totalsRowDxfId="102" dataCellStyle="Comma"/>
    <tableColumn id="5" xr3:uid="{CA8FED96-A39B-C043-B712-459E64932898}" name="2022" totalsRowFunction="sum" dataDxfId="101" totalsRowDxfId="100" dataCellStyle="Comma"/>
    <tableColumn id="6" xr3:uid="{934C9A3F-09D1-D949-8697-6F1984F16923}" name="2023" totalsRowFunction="sum" dataDxfId="99" totalsRowDxfId="98" dataCellStyle="Comma">
      <calculatedColumnFormula>16399663023.4286+1300000000</calculatedColumnFormula>
    </tableColumn>
    <tableColumn id="7" xr3:uid="{6E7A1926-4114-EC40-A97D-34D711EAA9F4}" name="2024" dataDxfId="97" totalsRowDxfId="96" dataCellStyle="Comma">
      <calculatedColumnFormula>H2/G2*Table3611[[#This Row],[2023]]</calculatedColumnFormula>
    </tableColumn>
    <tableColumn id="8" xr3:uid="{CB8056CE-148B-394E-8CB1-391584E96A6C}" name="2025" dataDxfId="95" totalsRowDxfId="94" dataCellStyle="Comma">
      <calculatedColumnFormula>I2/H2*Table3611[[#This Row],[2024]]</calculatedColumnFormula>
    </tableColumn>
    <tableColumn id="9" xr3:uid="{A5829AFD-8A22-B04A-8BF1-E0CCCD039E28}" name="2026" dataDxfId="93" totalsRowDxfId="92" dataCellStyle="Comma">
      <calculatedColumnFormula>J2/I2*Table3611[[#This Row],[2025]]</calculatedColumnFormula>
    </tableColumn>
    <tableColumn id="10" xr3:uid="{2ACA2970-E81D-1F45-AE37-54F667D0284F}" name="2027" dataDxfId="91" totalsRowDxfId="90" dataCellStyle="Comma">
      <calculatedColumnFormula>K2/J2*Table3611[[#This Row],[2026]]</calculatedColumnFormula>
    </tableColumn>
    <tableColumn id="11" xr3:uid="{CC883C95-2409-E34C-94F1-1D5F5E45D831}" name="2028" dataDxfId="89" totalsRowDxfId="88" dataCellStyle="Comma">
      <calculatedColumnFormula>L2/K2*Table3611[[#This Row],[2027]]</calculatedColumnFormula>
    </tableColumn>
    <tableColumn id="12" xr3:uid="{6CD99A63-A99C-FB4C-8324-FBC4FA96BFD4}" name="2029" dataDxfId="87" totalsRowDxfId="86" dataCellStyle="Comma">
      <calculatedColumnFormula>M2/L2*Table3611[[#This Row],[2028]]</calculatedColumnFormula>
    </tableColumn>
    <tableColumn id="13" xr3:uid="{1B7BECCD-BCAD-084B-B4A0-FB3557195578}" name="2030" dataDxfId="85" totalsRowDxfId="84" dataCellStyle="Comma">
      <calculatedColumnFormula>N2/M2*Table3611[[#This Row],[2029]]</calculatedColumnFormula>
    </tableColumn>
    <tableColumn id="14" xr3:uid="{6411F98D-5E1F-8B41-ADCF-17ED8E7CB241}" name="2031" dataDxfId="83" totalsRowDxfId="82" dataCellStyle="Comma">
      <calculatedColumnFormula>O2/N2*Table3611[[#This Row],[2030]]</calculatedColumnFormula>
    </tableColumn>
    <tableColumn id="15" xr3:uid="{3471155D-55DD-7F4A-9453-F719665D66DB}" name="2032" dataDxfId="81" totalsRowDxfId="80" dataCellStyle="Comma">
      <calculatedColumnFormula>P2/O2*Table3611[[#This Row],[2031]]</calculatedColumnFormula>
    </tableColumn>
    <tableColumn id="16" xr3:uid="{E59E3731-17F4-EE48-8C8C-D2C001D86B4F}" name="2033" dataDxfId="79" totalsRowDxfId="78" dataCellStyle="Comma">
      <calculatedColumnFormula>Q2/P2*Table3611[[#This Row],[2032]]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83E0A3-1FC4-0F43-9C31-8186236D996E}" name="Table714" displayName="Table714" ref="G8:H9" totalsRowShown="0" headerRowDxfId="77" dataDxfId="76">
  <autoFilter ref="G8:H9" xr:uid="{E812B4D9-0275-0B41-9591-9D0DF8BF194E}">
    <filterColumn colId="0" hiddenButton="1"/>
    <filterColumn colId="1" hiddenButton="1"/>
  </autoFilter>
  <tableColumns count="2">
    <tableColumn id="1" xr3:uid="{B35CAC1C-F027-AC48-8735-A12C28CE2FEE}" name="2.35%" dataDxfId="75">
      <calculatedColumnFormula array="1">Table3611[2023]-Table3611[2022]</calculatedColumnFormula>
    </tableColumn>
    <tableColumn id="2" xr3:uid="{37ACC41F-0E42-FE47-BF4D-8C74C0B1771F}" name="1%" dataDxfId="74">
      <calculatedColumnFormula>G9/(G8*100)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Q10" totalsRowCount="1" headerRowDxfId="73" dataDxfId="72" totalsRowDxfId="71" dataCellStyle="Comma">
  <autoFilter ref="B3:Q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434975C-754F-5441-8944-9D99F067F04D}" name="Produk" totalsRowLabel="Total" dataDxfId="70" totalsRowDxfId="69"/>
    <tableColumn id="15" xr3:uid="{8E5BD366-1155-CE49-BBB4-3F27339B0B75}" name="2019" dataDxfId="68" totalsRowDxfId="67"/>
    <tableColumn id="14" xr3:uid="{FB0FC5E1-B965-6742-807F-7E3890DBDC3F}" name="2020" dataDxfId="66" totalsRowDxfId="65"/>
    <tableColumn id="13" xr3:uid="{794A7C86-2D33-554F-9012-765C40A5C94A}" name="2021" dataDxfId="64" totalsRowDxfId="63"/>
    <tableColumn id="2" xr3:uid="{72BB7C90-7123-8548-AD32-67D10EFB4941}" name="2022" totalsRowFunction="sum" dataDxfId="62" totalsRowDxfId="61" dataCellStyle="Comma"/>
    <tableColumn id="3" xr3:uid="{D1916A1A-7235-5944-952D-C5B2D3DDE06E}" name="2023" totalsRowFunction="sum" dataDxfId="60" totalsRowDxfId="59" dataCellStyle="Comma"/>
    <tableColumn id="4" xr3:uid="{DCCF41AD-21FF-E24A-BBC9-25283DF564ED}" name="2024" totalsRowFunction="sum" dataDxfId="58" totalsRowDxfId="57" dataCellStyle="Comma"/>
    <tableColumn id="5" xr3:uid="{2D2438E8-19A3-DC49-8708-643DF91EF6CA}" name="2025" totalsRowFunction="sum" dataDxfId="56" totalsRowDxfId="55" dataCellStyle="Comma"/>
    <tableColumn id="6" xr3:uid="{D2DA396E-5667-2944-A522-E55C0615C95B}" name="2026" totalsRowFunction="sum" dataDxfId="54" totalsRowDxfId="53" dataCellStyle="Comma"/>
    <tableColumn id="7" xr3:uid="{EDE1AE77-74CD-4C4A-AB30-33B40B187F4D}" name="2027" totalsRowFunction="custom" dataDxfId="52" totalsRowDxfId="51" dataCellStyle="Comma">
      <totalsRowFormula>Table3[[#Totals],[2026]]+K12</totalsRowFormula>
    </tableColumn>
    <tableColumn id="8" xr3:uid="{E3A4E7A4-9B95-9C45-AD94-5E313CD83314}" name="2028" totalsRowFunction="custom" dataDxfId="50" totalsRowDxfId="49" dataCellStyle="Comma">
      <totalsRowFormula>Table3[[#Totals],[2027]]+L12</totalsRowFormula>
    </tableColumn>
    <tableColumn id="9" xr3:uid="{5396A41B-238E-934A-B88C-05665FF32EAB}" name="2029" totalsRowFunction="custom" dataDxfId="48" totalsRowDxfId="47" dataCellStyle="Comma">
      <totalsRowFormula>Table3[[#Totals],[2028]]+M12</totalsRowFormula>
    </tableColumn>
    <tableColumn id="10" xr3:uid="{4B95DC7B-03C0-554B-8874-CA493F12F898}" name="2030" totalsRowFunction="custom" dataDxfId="46" totalsRowDxfId="45" dataCellStyle="Comma">
      <totalsRowFormula>Table3[[#Totals],[2029]]+N12</totalsRowFormula>
    </tableColumn>
    <tableColumn id="11" xr3:uid="{7AFBF0D8-EFCB-BD40-9797-A8DA640BE121}" name="2031" totalsRowFunction="custom" dataDxfId="44" totalsRowDxfId="43" dataCellStyle="Comma">
      <totalsRowFormula>Table3[[#Totals],[2030]]+O12</totalsRowFormula>
    </tableColumn>
    <tableColumn id="12" xr3:uid="{F50F8622-B86E-DE4B-8344-97514986A226}" name="2032" totalsRowFunction="custom" dataDxfId="42" totalsRowDxfId="41" dataCellStyle="Comma">
      <totalsRowFormula>Table3[[#Totals],[2031]]+P12</totalsRowFormula>
    </tableColumn>
    <tableColumn id="16" xr3:uid="{C13C1E06-43CC-7C4D-BBB3-ECD9E51CC95E}" name="2033" totalsRowFunction="custom" dataDxfId="40" totalsRowDxfId="39" dataCellStyle="Comma">
      <totalsRowFormula>Table3[[#Totals],[2032]]+Q12</totalsRow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Q8" totalsRowCount="1" headerRowDxfId="38" dataDxfId="37" totalsRowDxfId="36">
  <autoFilter ref="B3:Q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7D68DC3-C711-5040-B376-B5F51979E29B}" name="Produk" totalsRowLabel="Total" dataDxfId="35" totalsRowDxfId="34"/>
    <tableColumn id="15" xr3:uid="{968DDC5B-E089-D843-A52D-7172723D8D2A}" name="Inc1" dataDxfId="33" totalsRowDxfId="32"/>
    <tableColumn id="14" xr3:uid="{78BB3794-9BF6-8D40-9094-953658171EEA}" name="Inc2" dataDxfId="31" totalsRowDxfId="30"/>
    <tableColumn id="13" xr3:uid="{A8272FC9-0AD5-BF4D-989E-3C102689BF68}" name="Column2" dataDxfId="29" totalsRowDxfId="28"/>
    <tableColumn id="2" xr3:uid="{B4B4FEAA-CB59-9346-9F47-FF72671E2EE8}" name="2022" totalsRowFunction="sum" dataDxfId="27" totalsRowDxfId="26" dataCellStyle="Comma"/>
    <tableColumn id="3" xr3:uid="{231FA472-4B76-4041-8A73-8F9C4AEBBE8F}" name="2023" totalsRowFunction="sum" dataDxfId="25" totalsRowDxfId="24" dataCellStyle="Comma"/>
    <tableColumn id="4" xr3:uid="{2E117CD9-E0EC-D746-814E-EC6AAAC8290B}" name="2024" totalsRowFunction="sum" dataDxfId="23" totalsRowDxfId="22" dataCellStyle="Comma"/>
    <tableColumn id="5" xr3:uid="{F927B8CF-7FCD-114C-9E2D-B44F29CFF80D}" name="2025" totalsRowFunction="sum" dataDxfId="21" totalsRowDxfId="20">
      <calculatedColumnFormula>Table4[[#This Row],[2024]]*(100%+Table4[[#This Row],[Inc1]])</calculatedColumnFormula>
    </tableColumn>
    <tableColumn id="6" xr3:uid="{07104418-C75B-EE40-9CDC-49C0D474463F}" name="2026" totalsRowFunction="sum" dataDxfId="19" totalsRowDxfId="18">
      <calculatedColumnFormula>Table4[[#This Row],[2025]]*(100%+Table4[[#This Row],[Inc2]])</calculatedColumnFormula>
    </tableColumn>
    <tableColumn id="7" xr3:uid="{DD42A9E1-1AC5-A249-A036-872FCF3A21BF}" name="2027" totalsRowFunction="sum" dataDxfId="17" totalsRowDxfId="16">
      <calculatedColumnFormula>Table4[[#This Row],[2026]]*(100%+Table4[[#This Row],[Inc2]])</calculatedColumnFormula>
    </tableColumn>
    <tableColumn id="8" xr3:uid="{BB3B38F4-7B6D-4A4B-A663-5855598CB7D4}" name="2028" totalsRowFunction="sum" dataDxfId="15" totalsRowDxfId="14">
      <calculatedColumnFormula>Table4[[#This Row],[2027]]*(100%+Table4[[#This Row],[Inc2]])</calculatedColumnFormula>
    </tableColumn>
    <tableColumn id="9" xr3:uid="{9F83B130-E9C9-904F-89DD-F5CF18D1A800}" name="2029" totalsRowFunction="sum" dataDxfId="13" totalsRowDxfId="12">
      <calculatedColumnFormula>Table4[[#This Row],[2028]]*(100%+Table4[[#This Row],[Inc2]])</calculatedColumnFormula>
    </tableColumn>
    <tableColumn id="10" xr3:uid="{61DE65DA-614C-5D46-9E42-B760A7726F49}" name="2030" totalsRowFunction="sum" dataDxfId="11" totalsRowDxfId="10">
      <calculatedColumnFormula>Table4[[#This Row],[2029]]*(100%+Table4[[#This Row],[Inc2]])</calculatedColumnFormula>
    </tableColumn>
    <tableColumn id="11" xr3:uid="{F9EEB720-D487-8B44-9A5E-608CDE69A8E5}" name="2031" totalsRowFunction="sum" dataDxfId="9" totalsRowDxfId="8">
      <calculatedColumnFormula>Table4[[#This Row],[2030]]*(100%+Table4[[#This Row],[Inc2]])</calculatedColumnFormula>
    </tableColumn>
    <tableColumn id="12" xr3:uid="{BC9CD56F-EA9F-9B44-89E9-D5ADAD5581E1}" name="2032" totalsRowFunction="sum" dataDxfId="7" totalsRowDxfId="6">
      <calculatedColumnFormula>Table4[[#This Row],[2031]]*(100%+Table4[[#This Row],[Inc2]])</calculatedColumnFormula>
    </tableColumn>
    <tableColumn id="16" xr3:uid="{1B13718D-226F-224D-9BC2-95A7F8197061}" name="2033" totalsRowFunction="sum" dataDxfId="5" totalsRowDxfId="4">
      <calculatedColumnFormula>Table4[[#This Row],[2032]]*(100%+Table4[[#This Row],[Inc2]])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O25"/>
  <sheetViews>
    <sheetView showGridLines="0" zoomScale="112" zoomScaleNormal="80" workbookViewId="0">
      <selection activeCell="E13" sqref="E13:E14"/>
    </sheetView>
  </sheetViews>
  <sheetFormatPr baseColWidth="10" defaultColWidth="11" defaultRowHeight="16" x14ac:dyDescent="0.2"/>
  <cols>
    <col min="1" max="1" width="3.6640625" style="1" customWidth="1"/>
    <col min="2" max="2" width="13.33203125" style="1" customWidth="1"/>
    <col min="3" max="12" width="17.83203125" style="8" customWidth="1"/>
    <col min="13" max="13" width="17.83203125" style="1" customWidth="1"/>
    <col min="14" max="14" width="16.1640625" style="1" bestFit="1" customWidth="1"/>
    <col min="15" max="15" width="11" style="1"/>
    <col min="16" max="16" width="4" style="1" customWidth="1"/>
    <col min="17" max="16384" width="11" style="1"/>
  </cols>
  <sheetData>
    <row r="2" spans="2:15" x14ac:dyDescent="0.2">
      <c r="B2" s="23" t="s">
        <v>119</v>
      </c>
    </row>
    <row r="3" spans="2:15" x14ac:dyDescent="0.2">
      <c r="B3" s="21" t="s">
        <v>63</v>
      </c>
      <c r="C3" s="137" t="s">
        <v>45</v>
      </c>
      <c r="D3" s="138" t="s">
        <v>9</v>
      </c>
      <c r="E3" s="118" t="s">
        <v>10</v>
      </c>
      <c r="F3" s="119" t="s">
        <v>11</v>
      </c>
      <c r="G3" s="118" t="s">
        <v>12</v>
      </c>
      <c r="H3" s="119" t="s">
        <v>13</v>
      </c>
      <c r="I3" s="118" t="s">
        <v>14</v>
      </c>
      <c r="J3" s="119" t="s">
        <v>15</v>
      </c>
      <c r="K3" s="118" t="s">
        <v>16</v>
      </c>
      <c r="L3" s="119" t="s">
        <v>17</v>
      </c>
      <c r="M3" s="118" t="s">
        <v>18</v>
      </c>
      <c r="N3" s="119" t="s">
        <v>111</v>
      </c>
    </row>
    <row r="4" spans="2:15" s="2" customFormat="1" x14ac:dyDescent="0.2">
      <c r="B4" s="2" t="s">
        <v>112</v>
      </c>
      <c r="C4" s="139">
        <v>0.79290000000000005</v>
      </c>
      <c r="D4" s="140">
        <f>'TE All % (y)'!D19</f>
        <v>0.81120088526963419</v>
      </c>
      <c r="E4" s="131">
        <f>'TE All % (y)'!E19</f>
        <v>0.89625925065207612</v>
      </c>
      <c r="F4" s="131">
        <f>'TE All % (y)'!F19</f>
        <v>0.89619942408054276</v>
      </c>
      <c r="G4" s="131">
        <f>'TE All % (y)'!G19</f>
        <v>0.89223014064282402</v>
      </c>
      <c r="H4" s="131">
        <f>'TE All % (y)'!H19</f>
        <v>0.88701016430925028</v>
      </c>
      <c r="I4" s="131">
        <f>'TE All % (y)'!I19</f>
        <v>0.88112494446004863</v>
      </c>
      <c r="J4" s="131">
        <f>'TE All % (y)'!J19</f>
        <v>0.89237992302155866</v>
      </c>
      <c r="K4" s="131">
        <f>'TE All % (y)'!K19</f>
        <v>0.8746490419933648</v>
      </c>
      <c r="L4" s="131">
        <f>'TE All % (y)'!L19</f>
        <v>0.8746490419933648</v>
      </c>
      <c r="M4" s="131">
        <f>'TE All % (y)'!M19</f>
        <v>0.8746490419933648</v>
      </c>
      <c r="N4" s="131">
        <f>'TE All % (y)'!N19</f>
        <v>0.8746490419933648</v>
      </c>
    </row>
    <row r="5" spans="2:15" s="2" customFormat="1" x14ac:dyDescent="0.2">
      <c r="B5" s="2" t="s">
        <v>0</v>
      </c>
      <c r="C5" s="141"/>
      <c r="D5" s="142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5" s="4" customFormat="1" x14ac:dyDescent="0.2">
      <c r="B6" s="2" t="s">
        <v>21</v>
      </c>
      <c r="C6" s="141"/>
      <c r="D6" s="143"/>
      <c r="E6" s="10"/>
      <c r="F6" s="10"/>
      <c r="G6" s="10"/>
      <c r="H6" s="10"/>
      <c r="I6" s="10"/>
      <c r="J6" s="10"/>
      <c r="K6" s="10"/>
      <c r="L6" s="10"/>
      <c r="M6" s="10"/>
    </row>
    <row r="7" spans="2:15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5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5" s="4" customFormat="1" x14ac:dyDescent="0.2">
      <c r="B9" s="3" t="s">
        <v>113</v>
      </c>
      <c r="C9" s="132">
        <v>15000</v>
      </c>
      <c r="D9" s="132">
        <v>15000</v>
      </c>
      <c r="E9" s="132">
        <v>15000</v>
      </c>
      <c r="F9" s="132">
        <v>15000</v>
      </c>
      <c r="G9" s="132">
        <v>15000</v>
      </c>
      <c r="H9" s="132">
        <v>15000</v>
      </c>
      <c r="I9" s="132">
        <v>15000</v>
      </c>
      <c r="J9" s="132">
        <v>15000</v>
      </c>
      <c r="K9" s="132">
        <v>15000</v>
      </c>
      <c r="L9" s="132">
        <v>15000</v>
      </c>
      <c r="M9" s="132">
        <v>15000</v>
      </c>
      <c r="N9" s="132">
        <v>15000</v>
      </c>
    </row>
    <row r="10" spans="2:15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5" s="6" customFormat="1" ht="20" customHeight="1" x14ac:dyDescent="0.2">
      <c r="B11" s="150" t="s">
        <v>120</v>
      </c>
      <c r="D11" s="7"/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8</v>
      </c>
      <c r="M11" s="7">
        <v>9</v>
      </c>
      <c r="N11" s="6">
        <v>10</v>
      </c>
    </row>
    <row r="12" spans="2:15" s="6" customFormat="1" ht="20" customHeight="1" thickBot="1" x14ac:dyDescent="0.25">
      <c r="B12" s="6" t="s">
        <v>19</v>
      </c>
      <c r="C12" s="144" t="s">
        <v>45</v>
      </c>
      <c r="D12" s="145" t="s">
        <v>9</v>
      </c>
      <c r="E12" s="120" t="s">
        <v>10</v>
      </c>
      <c r="F12" s="120" t="s">
        <v>11</v>
      </c>
      <c r="G12" s="120" t="s">
        <v>12</v>
      </c>
      <c r="H12" s="120" t="s">
        <v>13</v>
      </c>
      <c r="I12" s="120" t="s">
        <v>14</v>
      </c>
      <c r="J12" s="120" t="s">
        <v>15</v>
      </c>
      <c r="K12" s="120" t="s">
        <v>16</v>
      </c>
      <c r="L12" s="120" t="s">
        <v>17</v>
      </c>
      <c r="M12" s="120" t="s">
        <v>18</v>
      </c>
      <c r="N12" s="120" t="s">
        <v>111</v>
      </c>
    </row>
    <row r="13" spans="2:15" s="8" customFormat="1" ht="20" customHeight="1" thickBot="1" x14ac:dyDescent="0.25">
      <c r="B13" s="11" t="s">
        <v>7</v>
      </c>
      <c r="C13" s="146">
        <v>240042962176.13782</v>
      </c>
      <c r="D13" s="147">
        <f>'TE Office (y)'!C7</f>
        <v>244268584353.99835</v>
      </c>
      <c r="E13" s="8">
        <f>'TE Office (y)'!D7</f>
        <v>272248203262.55194</v>
      </c>
      <c r="F13" s="8">
        <f>'TE Office (y)'!E7</f>
        <v>273318145820.00662</v>
      </c>
      <c r="G13" s="8">
        <f>'TE Office (y)'!F7</f>
        <v>272241425702.49152</v>
      </c>
      <c r="H13" s="8">
        <f>'TE Office (y)'!G7</f>
        <v>270267569742.49152</v>
      </c>
      <c r="I13" s="8">
        <f>'TE Office (y)'!H7</f>
        <v>268887659610.35406</v>
      </c>
      <c r="J13" s="8">
        <f>'TE Office (y)'!I7</f>
        <v>277207482253.97278</v>
      </c>
      <c r="K13" s="8">
        <f>'TE Office (y)'!J7</f>
        <v>274871809343.59149</v>
      </c>
      <c r="L13" s="8">
        <f>'TE Office (y)'!K7</f>
        <v>275850348743.59149</v>
      </c>
      <c r="M13" s="8">
        <f>'TE Office (y)'!L7</f>
        <v>276176528543.59149</v>
      </c>
      <c r="N13" s="8">
        <f>'TE Office (y)'!M7</f>
        <v>276176528543.59149</v>
      </c>
      <c r="O13" s="20"/>
    </row>
    <row r="14" spans="2:15" ht="20" customHeight="1" thickBot="1" x14ac:dyDescent="0.25">
      <c r="B14" s="1" t="s">
        <v>8</v>
      </c>
      <c r="C14" s="146">
        <v>7000000000</v>
      </c>
      <c r="D14" s="147">
        <v>10000000000</v>
      </c>
      <c r="E14" s="8">
        <v>10000000000</v>
      </c>
      <c r="F14" s="8">
        <v>10000000000</v>
      </c>
      <c r="G14" s="8">
        <v>10000000000</v>
      </c>
      <c r="H14" s="8">
        <v>10000000000</v>
      </c>
      <c r="I14" s="8">
        <v>10000000000</v>
      </c>
      <c r="J14" s="8">
        <v>10000000000</v>
      </c>
      <c r="K14" s="8">
        <v>10000000000</v>
      </c>
      <c r="L14" s="8">
        <v>10000000000</v>
      </c>
      <c r="M14" s="8">
        <v>10000000000</v>
      </c>
      <c r="N14" s="8">
        <v>10000000000</v>
      </c>
      <c r="O14" s="20"/>
    </row>
    <row r="15" spans="2:15" ht="20" customHeight="1" thickBot="1" x14ac:dyDescent="0.25">
      <c r="B15" s="1" t="s">
        <v>2</v>
      </c>
      <c r="C15" s="146" cm="1">
        <f t="array" ref="C15">Table3611[2022]</f>
        <v>15151548951.902332</v>
      </c>
      <c r="D15" s="147" cm="1">
        <f t="array" ref="D15">Table3611[2023]</f>
        <v>17699663023.4286</v>
      </c>
      <c r="E15" s="8" cm="1">
        <f t="array" ref="E15">Table3611[2024]</f>
        <v>19555558932.729134</v>
      </c>
      <c r="F15" s="8" cm="1">
        <f t="array" ref="F15">Table3611[2025]</f>
        <v>19554253571.535358</v>
      </c>
      <c r="G15" s="8" cm="1">
        <f t="array" ref="G15">Table3611[2026]</f>
        <v>19467647429.249474</v>
      </c>
      <c r="H15" s="8" cm="1">
        <f t="array" ref="H15">Table3611[2027]</f>
        <v>19353752309.344845</v>
      </c>
      <c r="I15" s="8" cm="1">
        <f t="array" ref="I15">Table3611[2028]</f>
        <v>19225342183.023251</v>
      </c>
      <c r="J15" s="8" cm="1">
        <f t="array" ref="J15">Table3611[2029]</f>
        <v>19470915544.063686</v>
      </c>
      <c r="K15" s="8" cm="1">
        <f t="array" ref="K15">Table3611[2030]</f>
        <v>19084043901.038765</v>
      </c>
      <c r="L15" s="8" cm="1">
        <f t="array" ref="L15">Table3611[2031]</f>
        <v>19084043901.038765</v>
      </c>
      <c r="M15" s="8" cm="1">
        <f t="array" ref="M15">Table3611[2032]</f>
        <v>19084043901.038765</v>
      </c>
      <c r="N15" s="8" cm="1">
        <f t="array" ref="N15">Table3611[2033]</f>
        <v>19084043901.038765</v>
      </c>
      <c r="O15" s="20"/>
    </row>
    <row r="16" spans="2:15" ht="20" customHeight="1" thickBot="1" x14ac:dyDescent="0.25">
      <c r="B16" s="1" t="s">
        <v>3</v>
      </c>
      <c r="C16" s="146">
        <f>Table3[[#Totals],[2022]]</f>
        <v>16440604452.040001</v>
      </c>
      <c r="D16" s="147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8">
        <f>Table3[[#Totals],[2033]]</f>
        <v>24093183023.468571</v>
      </c>
      <c r="O16" s="20"/>
    </row>
    <row r="17" spans="2:15" ht="20" customHeight="1" thickBot="1" x14ac:dyDescent="0.25">
      <c r="B17" s="1" t="s">
        <v>4</v>
      </c>
      <c r="C17" s="146">
        <f>Table4[[#Totals],[2022]]</f>
        <v>6147621139</v>
      </c>
      <c r="D17" s="147">
        <f>Table4[[#Totals],[2023]]</f>
        <v>7278897500</v>
      </c>
      <c r="E17" s="8">
        <f>Table4[[#Totals],[2024]]</f>
        <v>8461434448</v>
      </c>
      <c r="F17" s="8">
        <f>Table4[[#Totals],[2025]]</f>
        <v>8765171136.9599991</v>
      </c>
      <c r="G17" s="8">
        <f>Table4[[#Totals],[2026]]</f>
        <v>8940474559.6991997</v>
      </c>
      <c r="H17" s="8">
        <f>Table4[[#Totals],[2027]]</f>
        <v>9119284050.8931847</v>
      </c>
      <c r="I17" s="8">
        <f>Table4[[#Totals],[2028]]</f>
        <v>9301669731.9110489</v>
      </c>
      <c r="J17" s="8">
        <f>Table4[[#Totals],[2029]]</f>
        <v>9487703126.5492706</v>
      </c>
      <c r="K17" s="8">
        <f>Table4[[#Totals],[2030]]</f>
        <v>9677457189.0802555</v>
      </c>
      <c r="L17" s="8">
        <f>Table4[[#Totals],[2031]]</f>
        <v>9871006332.8618584</v>
      </c>
      <c r="M17" s="8">
        <f>Table4[[#Totals],[2032]]</f>
        <v>10068426459.519096</v>
      </c>
      <c r="N17" s="8">
        <f>Table4[[#Totals],[2033]]</f>
        <v>10269794988.70948</v>
      </c>
      <c r="O17" s="20"/>
    </row>
    <row r="18" spans="2:15" ht="20" customHeight="1" thickBot="1" x14ac:dyDescent="0.25">
      <c r="B18" s="1" t="s">
        <v>5</v>
      </c>
      <c r="C18" s="146">
        <f>SH!F4</f>
        <v>3200000000</v>
      </c>
      <c r="D18" s="147">
        <f>SH!G4</f>
        <v>4500000000</v>
      </c>
      <c r="E18" s="8">
        <f>SH!H4</f>
        <v>7200000000</v>
      </c>
      <c r="F18" s="8">
        <f>SH!I4</f>
        <v>7700000000</v>
      </c>
      <c r="G18" s="8">
        <f>SH!J4</f>
        <v>8200000000</v>
      </c>
      <c r="H18" s="8">
        <f>SH!K4</f>
        <v>8700000000</v>
      </c>
      <c r="I18" s="8">
        <f>SH!L4</f>
        <v>9200000000</v>
      </c>
      <c r="J18" s="8">
        <f>SH!M4</f>
        <v>9700000000</v>
      </c>
      <c r="K18" s="8">
        <f>SH!N4</f>
        <v>10200000000</v>
      </c>
      <c r="L18" s="8">
        <f>SH!O4</f>
        <v>10700000000</v>
      </c>
      <c r="M18" s="8">
        <f>SH!P4</f>
        <v>11200000000</v>
      </c>
      <c r="N18" s="8">
        <f>SH!Q4</f>
        <v>11700000000</v>
      </c>
      <c r="O18" s="20"/>
    </row>
    <row r="19" spans="2:15" ht="20" customHeight="1" thickBot="1" x14ac:dyDescent="0.25">
      <c r="B19" s="1" t="s">
        <v>6</v>
      </c>
      <c r="C19" s="146">
        <v>5100000000</v>
      </c>
      <c r="D19" s="147">
        <f>3500000000+1600000000</f>
        <v>5100000000</v>
      </c>
      <c r="E19" s="8">
        <f t="shared" ref="E19:N19" si="0">3500000000+1600000000</f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8">
        <f t="shared" si="0"/>
        <v>5100000000</v>
      </c>
      <c r="O19" s="20"/>
    </row>
    <row r="20" spans="2:15" ht="20" customHeight="1" thickBot="1" x14ac:dyDescent="0.25">
      <c r="B20" s="1" t="s">
        <v>0</v>
      </c>
      <c r="C20" s="146">
        <f>Ampera!F4</f>
        <v>8199964357.2000008</v>
      </c>
      <c r="D20" s="147">
        <f>Ampera!G4</f>
        <v>9017344357.2000008</v>
      </c>
      <c r="E20" s="8">
        <f>Ampera!H4</f>
        <v>9017344357.2000008</v>
      </c>
      <c r="F20" s="8">
        <f>Ampera!I4</f>
        <v>9017344357.2000008</v>
      </c>
      <c r="G20" s="8">
        <f>Ampera!J4</f>
        <v>9017344357.2000008</v>
      </c>
      <c r="H20" s="8">
        <f>Ampera!K4</f>
        <v>9017344357.2000008</v>
      </c>
      <c r="I20" s="8">
        <f>Ampera!L4</f>
        <v>9017344357.2000008</v>
      </c>
      <c r="J20" s="8">
        <f>Ampera!M4</f>
        <v>9017344357.2000008</v>
      </c>
      <c r="K20" s="8">
        <f>Ampera!N4</f>
        <v>9017344357.2000008</v>
      </c>
      <c r="L20" s="8">
        <f>Ampera!O4</f>
        <v>9017344357.2000008</v>
      </c>
      <c r="M20" s="8">
        <f>Ampera!P4</f>
        <v>9017344357.2000008</v>
      </c>
      <c r="N20" s="8">
        <f>Ampera!Q4</f>
        <v>9017344357.2000008</v>
      </c>
      <c r="O20" s="20"/>
    </row>
    <row r="21" spans="2:15" ht="20" customHeight="1" thickBot="1" x14ac:dyDescent="0.25">
      <c r="B21" s="1" t="s">
        <v>1</v>
      </c>
      <c r="C21" s="146">
        <v>2600000000</v>
      </c>
      <c r="D21" s="147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8">
        <v>2600000000</v>
      </c>
      <c r="O21" s="20"/>
    </row>
    <row r="22" spans="2:15" ht="20" customHeight="1" thickBot="1" x14ac:dyDescent="0.25">
      <c r="B22" s="1" t="s">
        <v>81</v>
      </c>
      <c r="C22" s="146">
        <f>Dago!F4</f>
        <v>8000000000</v>
      </c>
      <c r="D22" s="147">
        <f>Dago!G4</f>
        <v>8500000000</v>
      </c>
      <c r="E22" s="8">
        <f>Dago!H4</f>
        <v>10000000000</v>
      </c>
      <c r="F22" s="8">
        <f>Dago!I4</f>
        <v>11000000000</v>
      </c>
      <c r="G22" s="8">
        <f>Dago!J4</f>
        <v>12000000000</v>
      </c>
      <c r="H22" s="8">
        <f>Dago!K4</f>
        <v>12500000000</v>
      </c>
      <c r="I22" s="8">
        <f>Dago!L4</f>
        <v>13000000000</v>
      </c>
      <c r="J22" s="8">
        <f>Dago!M4</f>
        <v>13000000000</v>
      </c>
      <c r="K22" s="8">
        <f>Dago!N4</f>
        <v>13000000000</v>
      </c>
      <c r="L22" s="8">
        <f>Dago!O4</f>
        <v>13000000000</v>
      </c>
      <c r="M22" s="8">
        <f>Dago!P4</f>
        <v>13000000000</v>
      </c>
      <c r="N22" s="8">
        <f>Dago!Q4</f>
        <v>13000000000</v>
      </c>
      <c r="O22" s="136"/>
    </row>
    <row r="23" spans="2:15" ht="20" customHeight="1" x14ac:dyDescent="0.2">
      <c r="C23" s="148"/>
      <c r="D23" s="147"/>
      <c r="M23" s="8"/>
      <c r="N23" s="8"/>
      <c r="O23" s="135"/>
    </row>
    <row r="24" spans="2:15" ht="20" customHeight="1" x14ac:dyDescent="0.2">
      <c r="B24" s="1" t="s">
        <v>114</v>
      </c>
      <c r="C24" s="148">
        <f>SUBTOTAL(109,Table2[2022])</f>
        <v>311882701076.28015</v>
      </c>
      <c r="D24" s="149">
        <f>SUBTOTAL(109,Table2[2023])</f>
        <v>327089202258.09552</v>
      </c>
      <c r="E24" s="9">
        <f>SUBTOTAL(109,Table2[2024])</f>
        <v>362775254023.94965</v>
      </c>
      <c r="F24" s="9">
        <f>SUBTOTAL(109,Table2[2025])</f>
        <v>366353017909.17053</v>
      </c>
      <c r="G24" s="9">
        <f>SUBTOTAL(109,Table2[2026])</f>
        <v>367460075072.10876</v>
      </c>
      <c r="H24" s="9">
        <f>SUBTOTAL(109,Table2[2027])</f>
        <v>367151133483.39813</v>
      </c>
      <c r="I24" s="9">
        <f>SUBTOTAL(109,Table2[2028])</f>
        <v>367425198905.95697</v>
      </c>
      <c r="J24" s="9">
        <f>SUBTOTAL(109,Table2[2029])</f>
        <v>377276628305.25427</v>
      </c>
      <c r="K24" s="9">
        <f>SUBTOTAL(109,Table2[2030])</f>
        <v>375843837814.37909</v>
      </c>
      <c r="L24" s="9">
        <f>SUBTOTAL(109,Table2[2031])</f>
        <v>378115926358.16071</v>
      </c>
      <c r="M24" s="9">
        <f>SUBTOTAL(109,Table2[2032])</f>
        <v>379739526284.81793</v>
      </c>
      <c r="N24" s="9">
        <f>SUBTOTAL(109,Table2[2033])</f>
        <v>381040894814.0083</v>
      </c>
    </row>
    <row r="25" spans="2:15" ht="20" customHeight="1" x14ac:dyDescent="0.2">
      <c r="B25" s="1" t="s">
        <v>115</v>
      </c>
      <c r="C25" s="146">
        <f>Table2[[#Totals],[2022]]/C9</f>
        <v>20792180.071752012</v>
      </c>
      <c r="D25" s="146">
        <f>Table2[[#Totals],[2023]]/D9</f>
        <v>21805946.817206368</v>
      </c>
      <c r="E25" s="8">
        <f>Table2[[#Totals],[2024]]/E9</f>
        <v>24185016.934929978</v>
      </c>
      <c r="F25" s="8">
        <f>Table2[[#Totals],[2025]]/F9</f>
        <v>24423534.527278036</v>
      </c>
      <c r="G25" s="8">
        <f>Table2[[#Totals],[2026]]/G9</f>
        <v>24497338.338140585</v>
      </c>
      <c r="H25" s="8">
        <f>Table2[[#Totals],[2027]]/H9</f>
        <v>24476742.232226543</v>
      </c>
      <c r="I25" s="8">
        <f>Table2[[#Totals],[2028]]/I9</f>
        <v>24495013.260397132</v>
      </c>
      <c r="J25" s="8">
        <f>Table2[[#Totals],[2029]]/J9</f>
        <v>25151775.220350284</v>
      </c>
      <c r="K25" s="8">
        <f>Table2[[#Totals],[2030]]/K9</f>
        <v>25056255.854291938</v>
      </c>
      <c r="L25" s="8">
        <f>Table2[[#Totals],[2031]]/L9</f>
        <v>25207728.423877381</v>
      </c>
      <c r="M25" s="8">
        <f>Table2[[#Totals],[2032]]/M9</f>
        <v>25315968.418987863</v>
      </c>
      <c r="N25" s="8">
        <f>Table2[[#Totals],[2033]]/N9</f>
        <v>25402726.320933886</v>
      </c>
    </row>
  </sheetData>
  <phoneticPr fontId="13" type="noConversion"/>
  <printOptions horizontalCentered="1"/>
  <pageMargins left="0.25" right="0.25" top="0.75" bottom="0.75" header="0.3" footer="0.3"/>
  <pageSetup paperSize="9" scale="54" orientation="landscape" horizontalDpi="0" verticalDpi="0"/>
  <headerFooter>
    <oddFooter>&amp;A&amp;RPage &amp;P</oddFoot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B084646-F3BA-004D-B7D4-64A547210686}">
          <x14:colorSeries theme="6" tint="0.39997558519241921"/>
          <x14:colorNegative theme="0" tint="-0.499984740745262"/>
          <x14:colorAxis rgb="FF000000"/>
          <x14:colorMarkers theme="6" tint="0.79998168889431442"/>
          <x14:colorFirst theme="6" tint="-0.249977111117893"/>
          <x14:colorLast theme="6" tint="-0.249977111117893"/>
          <x14:colorHigh theme="6" tint="-0.499984740745262"/>
          <x14:colorLow theme="6" tint="-0.499984740745262"/>
          <x14:sparklines>
            <x14:sparkline>
              <xm:f>Summary!E13:N13</xm:f>
              <xm:sqref>O13</xm:sqref>
            </x14:sparkline>
            <x14:sparkline>
              <xm:f>Summary!E14:N14</xm:f>
              <xm:sqref>O14</xm:sqref>
            </x14:sparkline>
            <x14:sparkline>
              <xm:f>Summary!E15:N15</xm:f>
              <xm:sqref>O15</xm:sqref>
            </x14:sparkline>
            <x14:sparkline>
              <xm:f>Summary!E16:N16</xm:f>
              <xm:sqref>O16</xm:sqref>
            </x14:sparkline>
            <x14:sparkline>
              <xm:f>Summary!E17:N17</xm:f>
              <xm:sqref>O17</xm:sqref>
            </x14:sparkline>
            <x14:sparkline>
              <xm:f>Summary!E18:N18</xm:f>
              <xm:sqref>O18</xm:sqref>
            </x14:sparkline>
            <x14:sparkline>
              <xm:f>Summary!E19:N19</xm:f>
              <xm:sqref>O19</xm:sqref>
            </x14:sparkline>
            <x14:sparkline>
              <xm:f>Summary!E20:N20</xm:f>
              <xm:sqref>O20</xm:sqref>
            </x14:sparkline>
            <x14:sparkline>
              <xm:f>Summary!E21:N21</xm:f>
              <xm:sqref>O21</xm:sqref>
            </x14:sparkline>
            <x14:sparkline>
              <xm:f>Summary!E22:N22</xm:f>
              <xm:sqref>O22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83"/>
  <sheetViews>
    <sheetView showGridLines="0" tabSelected="1" zoomScale="117" zoomScaleNormal="100" workbookViewId="0">
      <selection activeCell="B12" sqref="B12"/>
    </sheetView>
  </sheetViews>
  <sheetFormatPr baseColWidth="10" defaultRowHeight="16" x14ac:dyDescent="0.2"/>
  <cols>
    <col min="1" max="1" width="10.83203125" style="1"/>
    <col min="2" max="2" width="10.83203125" style="22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2">
      <c r="B4" s="22" t="s">
        <v>64</v>
      </c>
      <c r="C4" s="24">
        <v>45291</v>
      </c>
      <c r="D4" s="24">
        <v>45657</v>
      </c>
      <c r="E4" s="24">
        <v>46022</v>
      </c>
      <c r="F4" s="24">
        <v>46387</v>
      </c>
      <c r="G4" s="24">
        <v>46752</v>
      </c>
      <c r="H4" s="24">
        <v>47118</v>
      </c>
      <c r="I4" s="24">
        <v>47483</v>
      </c>
      <c r="J4" s="24">
        <v>47848</v>
      </c>
      <c r="K4" s="24">
        <v>48213</v>
      </c>
      <c r="L4" s="24">
        <v>48579</v>
      </c>
      <c r="M4" s="24">
        <v>48944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</row>
    <row r="5" spans="2:134" ht="21" customHeight="1" x14ac:dyDescent="0.2">
      <c r="B5" s="22" t="s">
        <v>65</v>
      </c>
      <c r="C5" s="25">
        <v>201310143883.27606</v>
      </c>
      <c r="D5" s="26">
        <v>224023556683.18649</v>
      </c>
      <c r="E5" s="26">
        <v>224022234753.18649</v>
      </c>
      <c r="F5" s="26">
        <v>222817680873.18649</v>
      </c>
      <c r="G5" s="26">
        <v>221152041913.18649</v>
      </c>
      <c r="H5" s="26">
        <v>219036422058.14246</v>
      </c>
      <c r="I5" s="26">
        <v>226276286629.76117</v>
      </c>
      <c r="J5" s="26">
        <v>225095884691.37988</v>
      </c>
      <c r="K5" s="26">
        <v>225095884691.37988</v>
      </c>
      <c r="L5" s="26">
        <v>225095884691.37988</v>
      </c>
      <c r="M5" s="26">
        <v>225095884691.37988</v>
      </c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</row>
    <row r="6" spans="2:134" ht="21" customHeight="1" x14ac:dyDescent="0.2">
      <c r="B6" s="22" t="s">
        <v>66</v>
      </c>
      <c r="C6" s="25">
        <v>42958440470.722275</v>
      </c>
      <c r="D6" s="26">
        <v>48224646579.365463</v>
      </c>
      <c r="E6" s="26">
        <v>49295911066.820137</v>
      </c>
      <c r="F6" s="26">
        <v>49423744829.305031</v>
      </c>
      <c r="G6" s="26">
        <v>49115527829.305031</v>
      </c>
      <c r="H6" s="26">
        <v>49851237552.211609</v>
      </c>
      <c r="I6" s="26">
        <v>50931195624.211609</v>
      </c>
      <c r="J6" s="26">
        <v>49775924652.211609</v>
      </c>
      <c r="K6" s="26">
        <v>50754464052.211609</v>
      </c>
      <c r="L6" s="26">
        <v>51080643852.211609</v>
      </c>
      <c r="M6" s="26">
        <v>51080643852.211609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</row>
    <row r="7" spans="2:134" s="23" customFormat="1" ht="21" customHeight="1" x14ac:dyDescent="0.2">
      <c r="B7" s="22" t="s">
        <v>20</v>
      </c>
      <c r="C7" s="27">
        <v>244268584353.99835</v>
      </c>
      <c r="D7" s="28">
        <v>272248203262.55194</v>
      </c>
      <c r="E7" s="28">
        <v>273318145820.00662</v>
      </c>
      <c r="F7" s="28">
        <v>272241425702.49152</v>
      </c>
      <c r="G7" s="28">
        <v>270267569742.49152</v>
      </c>
      <c r="H7" s="28">
        <v>268887659610.35406</v>
      </c>
      <c r="I7" s="28">
        <v>277207482253.97278</v>
      </c>
      <c r="J7" s="28">
        <v>274871809343.59149</v>
      </c>
      <c r="K7" s="28">
        <v>275850348743.59149</v>
      </c>
      <c r="L7" s="28">
        <v>276176528543.59149</v>
      </c>
      <c r="M7" s="28">
        <v>276176528543.59149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6"/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</row>
    <row r="8" spans="2:134" ht="21" customHeight="1" x14ac:dyDescent="0.2">
      <c r="B8" s="22" t="s">
        <v>67</v>
      </c>
      <c r="C8" s="25">
        <v>48163.738639265204</v>
      </c>
      <c r="D8" s="26">
        <v>53744.103276055306</v>
      </c>
      <c r="E8" s="26">
        <v>53740.178276055311</v>
      </c>
      <c r="F8" s="26">
        <v>53479.768276055307</v>
      </c>
      <c r="G8" s="26">
        <v>53137.304942721967</v>
      </c>
      <c r="H8" s="26">
        <v>52751.197443729288</v>
      </c>
      <c r="I8" s="26">
        <v>53489.594943729287</v>
      </c>
      <c r="J8" s="26">
        <v>52326.337443729288</v>
      </c>
      <c r="K8" s="26">
        <v>52326.337443729288</v>
      </c>
      <c r="L8" s="26">
        <v>52326.337443729288</v>
      </c>
      <c r="M8" s="26">
        <v>52326.337443729288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</row>
    <row r="9" spans="2:134" ht="21" customHeight="1" x14ac:dyDescent="0.2">
      <c r="B9" s="22" t="s">
        <v>68</v>
      </c>
      <c r="C9" s="29">
        <v>0.79666525453432846</v>
      </c>
      <c r="D9" s="30">
        <v>0.88896877455506118</v>
      </c>
      <c r="E9" s="30">
        <v>0.88890385203840472</v>
      </c>
      <c r="F9" s="30">
        <v>0.8845964704938134</v>
      </c>
      <c r="G9" s="30">
        <v>0.87893186375175592</v>
      </c>
      <c r="H9" s="30">
        <v>0.87254534896588232</v>
      </c>
      <c r="I9" s="30">
        <v>0.88475901112967126</v>
      </c>
      <c r="J9" s="30">
        <v>0.86551783802914795</v>
      </c>
      <c r="K9" s="30">
        <v>0.86551783802914795</v>
      </c>
      <c r="L9" s="30">
        <v>0.86551783802914795</v>
      </c>
      <c r="M9" s="30">
        <v>0.86551783802914795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</row>
    <row r="10" spans="2:134" ht="21" customHeight="1" x14ac:dyDescent="0.2">
      <c r="C10" s="166">
        <f>C5/(C8-C11-C12-C13-C14)/12</f>
        <v>372639.73409125564</v>
      </c>
      <c r="D10" s="166">
        <f t="shared" ref="D10:M10" si="0">D5/(D8-D11-D12-D13-D14)/12</f>
        <v>368950.33162310906</v>
      </c>
      <c r="E10" s="166">
        <f t="shared" si="0"/>
        <v>368976.77611792018</v>
      </c>
      <c r="F10" s="166">
        <f t="shared" si="0"/>
        <v>368891.46270900773</v>
      </c>
      <c r="G10" s="166">
        <f t="shared" si="0"/>
        <v>368641.99637953658</v>
      </c>
      <c r="H10" s="166">
        <f t="shared" si="0"/>
        <v>367957.28196584102</v>
      </c>
      <c r="I10" s="166">
        <f t="shared" si="0"/>
        <v>374544.32459646807</v>
      </c>
      <c r="J10" s="166">
        <f t="shared" si="0"/>
        <v>381403.09079215239</v>
      </c>
      <c r="K10" s="166">
        <f t="shared" si="0"/>
        <v>381403.09079215239</v>
      </c>
      <c r="L10" s="166">
        <f t="shared" si="0"/>
        <v>381403.09079215239</v>
      </c>
      <c r="M10" s="166">
        <f t="shared" si="0"/>
        <v>381403.09079215239</v>
      </c>
    </row>
    <row r="11" spans="2:134" ht="21" customHeight="1" x14ac:dyDescent="0.2">
      <c r="B11" s="167" t="s">
        <v>121</v>
      </c>
      <c r="C11" s="165">
        <v>264.35000000000002</v>
      </c>
      <c r="D11" s="165">
        <v>264.35000000000002</v>
      </c>
      <c r="E11" s="165">
        <v>264.35000000000002</v>
      </c>
      <c r="F11" s="165">
        <v>264.35000000000002</v>
      </c>
      <c r="G11" s="165">
        <v>264.35000000000002</v>
      </c>
      <c r="H11" s="165">
        <v>264.35000000000002</v>
      </c>
      <c r="I11" s="165">
        <v>264.35000000000002</v>
      </c>
      <c r="J11" s="165">
        <v>264.35000000000002</v>
      </c>
      <c r="K11" s="165">
        <v>264.35000000000002</v>
      </c>
      <c r="L11" s="165">
        <v>264.35000000000002</v>
      </c>
      <c r="M11" s="165">
        <v>264.35000000000002</v>
      </c>
    </row>
    <row r="12" spans="2:134" ht="21" customHeight="1" x14ac:dyDescent="0.2">
      <c r="C12" s="165">
        <f>137.31+137.31</f>
        <v>274.62</v>
      </c>
      <c r="D12" s="165">
        <f t="shared" ref="D12:M12" si="1">137.31+137.31</f>
        <v>274.62</v>
      </c>
      <c r="E12" s="165">
        <f t="shared" si="1"/>
        <v>274.62</v>
      </c>
      <c r="F12" s="165">
        <f t="shared" si="1"/>
        <v>274.62</v>
      </c>
      <c r="G12" s="165">
        <f t="shared" si="1"/>
        <v>274.62</v>
      </c>
      <c r="H12" s="165">
        <f t="shared" si="1"/>
        <v>274.62</v>
      </c>
      <c r="I12" s="165">
        <f t="shared" si="1"/>
        <v>274.62</v>
      </c>
      <c r="J12" s="165">
        <f t="shared" si="1"/>
        <v>274.62</v>
      </c>
      <c r="K12" s="165">
        <f t="shared" si="1"/>
        <v>274.62</v>
      </c>
      <c r="L12" s="165">
        <f t="shared" si="1"/>
        <v>274.62</v>
      </c>
      <c r="M12" s="165">
        <f t="shared" si="1"/>
        <v>274.62</v>
      </c>
    </row>
    <row r="13" spans="2:134" ht="21" customHeight="1" x14ac:dyDescent="0.2">
      <c r="C13" s="165">
        <v>1183.46</v>
      </c>
      <c r="D13" s="165">
        <v>1183.46</v>
      </c>
      <c r="E13" s="165">
        <v>1183.46</v>
      </c>
      <c r="F13" s="165">
        <v>1183.46</v>
      </c>
      <c r="G13" s="165">
        <v>1183.46</v>
      </c>
      <c r="H13" s="165">
        <v>1183.46</v>
      </c>
      <c r="I13" s="165">
        <v>1183.46</v>
      </c>
      <c r="J13" s="165">
        <v>1183.46</v>
      </c>
      <c r="K13" s="165">
        <v>1183.46</v>
      </c>
      <c r="L13" s="165">
        <v>1183.46</v>
      </c>
      <c r="M13" s="165">
        <v>1183.46</v>
      </c>
    </row>
    <row r="14" spans="2:134" ht="21" customHeight="1" x14ac:dyDescent="0.2">
      <c r="C14" s="166">
        <v>1422.37</v>
      </c>
      <c r="D14" s="166">
        <v>1422.37</v>
      </c>
      <c r="E14" s="166">
        <v>1422.37</v>
      </c>
      <c r="F14" s="166">
        <v>1422.37</v>
      </c>
      <c r="G14" s="166">
        <v>1422.37</v>
      </c>
      <c r="H14" s="166">
        <v>1422.37</v>
      </c>
      <c r="I14" s="166">
        <v>1422.37</v>
      </c>
      <c r="J14" s="166">
        <v>1422.37</v>
      </c>
      <c r="K14" s="166">
        <v>1422.37</v>
      </c>
      <c r="L14" s="166">
        <v>1422.37</v>
      </c>
      <c r="M14" s="166">
        <v>1422.37</v>
      </c>
    </row>
    <row r="15" spans="2:134" ht="21" customHeight="1" x14ac:dyDescent="0.2">
      <c r="D15" s="74"/>
    </row>
    <row r="16" spans="2:134" s="6" customFormat="1" ht="21" customHeight="1" x14ac:dyDescent="0.2">
      <c r="B16" s="22"/>
    </row>
    <row r="17" spans="2:134" s="6" customFormat="1" ht="21" customHeight="1" x14ac:dyDescent="0.2">
      <c r="B17" s="2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91"/>
      <c r="DY17" s="91"/>
      <c r="DZ17" s="91"/>
      <c r="EA17" s="91"/>
      <c r="EB17" s="91"/>
      <c r="EC17" s="91"/>
      <c r="ED17" s="91"/>
    </row>
    <row r="18" spans="2:134" ht="21" customHeight="1" x14ac:dyDescent="0.2"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2:134" ht="21" customHeight="1" x14ac:dyDescent="0.2"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2:134" s="23" customFormat="1" ht="21" customHeight="1" x14ac:dyDescent="0.2">
      <c r="B20" s="22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2:134" ht="21" customHeight="1" x14ac:dyDescent="0.2"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2:134" ht="21" customHeight="1" x14ac:dyDescent="0.2"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7" spans="2:134" x14ac:dyDescent="0.2"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</row>
    <row r="28" spans="2:134" x14ac:dyDescent="0.2">
      <c r="C28" s="1">
        <f>C5/12</f>
        <v>16775845323.606339</v>
      </c>
    </row>
    <row r="36" spans="4:4" x14ac:dyDescent="0.2">
      <c r="D36" s="164">
        <v>264.35000000000002</v>
      </c>
    </row>
    <row r="37" spans="4:4" x14ac:dyDescent="0.2">
      <c r="D37" s="164">
        <f>137.31+137.31</f>
        <v>274.62</v>
      </c>
    </row>
    <row r="38" spans="4:4" x14ac:dyDescent="0.2">
      <c r="D38" s="164">
        <v>1183.46</v>
      </c>
    </row>
    <row r="83" spans="5:5" x14ac:dyDescent="0.2">
      <c r="E83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(y)'!C21:M21</xm:f>
              <xm:sqref>N21</xm:sqref>
            </x14:sparkline>
            <x14:sparkline>
              <xm:f>'TE Office (y)'!C22:M22</xm:f>
              <xm:sqref>N22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D92-B60A-454B-B7DF-148089CDF349}">
  <sheetPr>
    <pageSetUpPr fitToPage="1"/>
  </sheetPr>
  <dimension ref="B3:N73"/>
  <sheetViews>
    <sheetView showGridLines="0" zoomScale="114" zoomScaleNormal="100" workbookViewId="0">
      <selection activeCell="D19" sqref="D19:N19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16384" width="10.83203125" style="1"/>
  </cols>
  <sheetData>
    <row r="3" spans="2:14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s="6" customFormat="1" ht="21" customHeight="1" x14ac:dyDescent="0.2">
      <c r="B4" s="6" t="s">
        <v>107</v>
      </c>
      <c r="C4" s="22" t="s">
        <v>64</v>
      </c>
      <c r="D4" s="111">
        <v>2023</v>
      </c>
      <c r="E4" s="111">
        <v>2024</v>
      </c>
      <c r="F4" s="111">
        <v>2025</v>
      </c>
      <c r="G4" s="111">
        <v>2026</v>
      </c>
      <c r="H4" s="111">
        <v>2027</v>
      </c>
      <c r="I4" s="111">
        <v>2028</v>
      </c>
      <c r="J4" s="111">
        <v>2029</v>
      </c>
      <c r="K4" s="111">
        <v>2030</v>
      </c>
      <c r="L4" s="111">
        <v>2031</v>
      </c>
      <c r="M4" s="111">
        <v>2032</v>
      </c>
      <c r="N4" s="111">
        <v>2033</v>
      </c>
    </row>
    <row r="5" spans="2:14" s="6" customFormat="1" ht="21" customHeight="1" x14ac:dyDescent="0.2">
      <c r="B5" s="110">
        <v>60456.72</v>
      </c>
      <c r="C5" s="22" t="s">
        <v>108</v>
      </c>
      <c r="D5" s="97">
        <f>'TE Office (y)'!C8</f>
        <v>48163.738639265204</v>
      </c>
      <c r="E5" s="97">
        <f>'TE Office (y)'!D8</f>
        <v>53744.103276055306</v>
      </c>
      <c r="F5" s="97">
        <f>'TE Office (y)'!E8</f>
        <v>53740.178276055311</v>
      </c>
      <c r="G5" s="97">
        <f>'TE Office (y)'!F8</f>
        <v>53479.768276055307</v>
      </c>
      <c r="H5" s="97">
        <f>'TE Office (y)'!G8</f>
        <v>53137.304942721967</v>
      </c>
      <c r="I5" s="97">
        <f>'TE Office (y)'!H8</f>
        <v>52751.197443729288</v>
      </c>
      <c r="J5" s="97">
        <f>'TE Office (y)'!I8</f>
        <v>53489.594943729287</v>
      </c>
      <c r="K5" s="97">
        <f>'TE Office (y)'!J8</f>
        <v>52326.337443729288</v>
      </c>
      <c r="L5" s="97">
        <f>'TE Office (y)'!K8</f>
        <v>52326.337443729288</v>
      </c>
      <c r="M5" s="97">
        <f>'TE Office (y)'!L8</f>
        <v>52326.337443729288</v>
      </c>
      <c r="N5" s="97">
        <f>'TE Office (y)'!M8</f>
        <v>52326.337443729288</v>
      </c>
    </row>
    <row r="6" spans="2:14" ht="21" customHeight="1" x14ac:dyDescent="0.2">
      <c r="B6" s="47">
        <v>1021.86</v>
      </c>
      <c r="C6" s="22" t="s">
        <v>104</v>
      </c>
      <c r="D6" s="98">
        <f>AVERAGE('TE All % (m)'!D6:O6)</f>
        <v>936.5400000000003</v>
      </c>
      <c r="E6" s="98">
        <f>AVERAGE('TE All % (m)'!P6:AA6)</f>
        <v>936.5400000000003</v>
      </c>
      <c r="F6" s="98">
        <f>AVERAGE('TE All % (m)'!AB6:AM6)</f>
        <v>936.5400000000003</v>
      </c>
      <c r="G6" s="98">
        <f>AVERAGE('TE All % (m)'!AN6:AY6)</f>
        <v>936.5400000000003</v>
      </c>
      <c r="H6" s="98">
        <f>AVERAGE('TE All % (m)'!AZ6:BK6)</f>
        <v>936.5400000000003</v>
      </c>
      <c r="I6" s="98">
        <f>AVERAGE('TE All % (m)'!BL6:BW6)</f>
        <v>936.5400000000003</v>
      </c>
      <c r="J6" s="98">
        <f>AVERAGE('TE All % (m)'!BX6:CI6)</f>
        <v>936.5400000000003</v>
      </c>
      <c r="K6" s="98">
        <f>AVERAGE('TE All % (m)'!CJ6:CU6)</f>
        <v>936.5400000000003</v>
      </c>
      <c r="L6" s="98">
        <f>AVERAGE('TE All % (m)'!CV6:DG6)</f>
        <v>936.5400000000003</v>
      </c>
      <c r="M6" s="98">
        <f>AVERAGE('TE All % (m)'!DH6:DS6)</f>
        <v>936.5400000000003</v>
      </c>
      <c r="N6" s="98">
        <f>AVERAGE('TE All % (m)'!DT6:EE6)</f>
        <v>936.5400000000003</v>
      </c>
    </row>
    <row r="7" spans="2:14" ht="21" customHeight="1" x14ac:dyDescent="0.2">
      <c r="B7" s="47">
        <v>2912.71</v>
      </c>
      <c r="C7" s="22" t="s">
        <v>105</v>
      </c>
      <c r="D7" s="98">
        <f>AVERAGE('TE All % (m)'!D7:O7)</f>
        <v>2904.599999999999</v>
      </c>
      <c r="E7" s="98">
        <f>AVERAGE('TE All % (m)'!P7:AA7)</f>
        <v>2904.599999999999</v>
      </c>
      <c r="F7" s="98">
        <f>AVERAGE('TE All % (m)'!AB7:AM7)</f>
        <v>2904.599999999999</v>
      </c>
      <c r="G7" s="98">
        <f>AVERAGE('TE All % (m)'!AN7:AY7)</f>
        <v>2904.599999999999</v>
      </c>
      <c r="H7" s="98">
        <f>AVERAGE('TE All % (m)'!AZ7:BK7)</f>
        <v>2904.599999999999</v>
      </c>
      <c r="I7" s="98">
        <f>AVERAGE('TE All % (m)'!BL7:BW7)</f>
        <v>2904.599999999999</v>
      </c>
      <c r="J7" s="98">
        <f>AVERAGE('TE All % (m)'!BX7:CI7)</f>
        <v>2904.599999999999</v>
      </c>
      <c r="K7" s="98">
        <f>AVERAGE('TE All % (m)'!CJ7:CU7)</f>
        <v>2904.599999999999</v>
      </c>
      <c r="L7" s="98">
        <f>AVERAGE('TE All % (m)'!CV7:DG7)</f>
        <v>2904.599999999999</v>
      </c>
      <c r="M7" s="98">
        <f>AVERAGE('TE All % (m)'!DH7:DS7)</f>
        <v>2904.599999999999</v>
      </c>
      <c r="N7" s="98">
        <f>AVERAGE('TE All % (m)'!DT7:EE7)</f>
        <v>2904.599999999999</v>
      </c>
    </row>
    <row r="8" spans="2:14" s="23" customFormat="1" ht="21" customHeight="1" x14ac:dyDescent="0.2">
      <c r="B8" s="47">
        <v>1215.01</v>
      </c>
      <c r="C8" s="22" t="s">
        <v>106</v>
      </c>
      <c r="D8" s="98">
        <f>AVERAGE('TE All % (m)'!D8:O8)</f>
        <v>1215.01</v>
      </c>
      <c r="E8" s="98">
        <f>AVERAGE('TE All % (m)'!P8:AA8)</f>
        <v>1215.01</v>
      </c>
      <c r="F8" s="98">
        <f>AVERAGE('TE All % (m)'!AB8:AM8)</f>
        <v>1215.01</v>
      </c>
      <c r="G8" s="98">
        <f>AVERAGE('TE All % (m)'!AN8:AY8)</f>
        <v>1215.01</v>
      </c>
      <c r="H8" s="98">
        <f>AVERAGE('TE All % (m)'!AZ8:BK8)</f>
        <v>1215.01</v>
      </c>
      <c r="I8" s="98">
        <f>AVERAGE('TE All % (m)'!BL8:BW8)</f>
        <v>1215.01</v>
      </c>
      <c r="J8" s="98">
        <f>AVERAGE('TE All % (m)'!BX8:CI8)</f>
        <v>1215.01</v>
      </c>
      <c r="K8" s="98">
        <f>AVERAGE('TE All % (m)'!CJ8:CU8)</f>
        <v>1215.01</v>
      </c>
      <c r="L8" s="98">
        <f>AVERAGE('TE All % (m)'!CV8:DG8)</f>
        <v>1215.01</v>
      </c>
      <c r="M8" s="98">
        <f>AVERAGE('TE All % (m)'!DH8:DS8)</f>
        <v>1215.01</v>
      </c>
      <c r="N8" s="98">
        <f>AVERAGE('TE All % (m)'!DT8:EE8)</f>
        <v>1215.01</v>
      </c>
    </row>
    <row r="9" spans="2:14" ht="21" customHeight="1" x14ac:dyDescent="0.2">
      <c r="B9" s="109">
        <f>SUM(B5:B8)</f>
        <v>65606.3</v>
      </c>
      <c r="C9" s="22" t="s">
        <v>67</v>
      </c>
      <c r="D9" s="104">
        <f>SUM(D5:D8)</f>
        <v>53219.888639265206</v>
      </c>
      <c r="E9" s="104">
        <f t="shared" ref="E9:N9" si="0">SUM(E5:E8)</f>
        <v>58800.253276055308</v>
      </c>
      <c r="F9" s="104">
        <f t="shared" si="0"/>
        <v>58796.328276055312</v>
      </c>
      <c r="G9" s="104">
        <f t="shared" si="0"/>
        <v>58535.918276055309</v>
      </c>
      <c r="H9" s="104">
        <f t="shared" si="0"/>
        <v>58193.454942721968</v>
      </c>
      <c r="I9" s="104">
        <f t="shared" si="0"/>
        <v>57807.34744372929</v>
      </c>
      <c r="J9" s="104">
        <f t="shared" si="0"/>
        <v>58545.744943729289</v>
      </c>
      <c r="K9" s="104">
        <f t="shared" si="0"/>
        <v>57382.487443729289</v>
      </c>
      <c r="L9" s="104">
        <f t="shared" si="0"/>
        <v>57382.487443729289</v>
      </c>
      <c r="M9" s="104">
        <f t="shared" si="0"/>
        <v>57382.487443729289</v>
      </c>
      <c r="N9" s="104">
        <f t="shared" si="0"/>
        <v>57382.487443729289</v>
      </c>
    </row>
    <row r="10" spans="2:14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</row>
    <row r="11" spans="2:14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4" ht="21" customHeight="1" x14ac:dyDescent="0.2">
      <c r="E12" s="74"/>
    </row>
    <row r="13" spans="2:14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4" s="6" customFormat="1" ht="21" customHeight="1" x14ac:dyDescent="0.2">
      <c r="C14" s="22" t="s">
        <v>64</v>
      </c>
      <c r="D14" s="111">
        <v>2023</v>
      </c>
      <c r="E14" s="111">
        <v>2024</v>
      </c>
      <c r="F14" s="111">
        <v>2025</v>
      </c>
      <c r="G14" s="111">
        <v>2026</v>
      </c>
      <c r="H14" s="111">
        <v>2027</v>
      </c>
      <c r="I14" s="111">
        <v>2028</v>
      </c>
      <c r="J14" s="111">
        <v>2029</v>
      </c>
      <c r="K14" s="111">
        <v>2030</v>
      </c>
      <c r="L14" s="111">
        <v>2031</v>
      </c>
      <c r="M14" s="111">
        <v>2032</v>
      </c>
      <c r="N14" s="111">
        <v>2033</v>
      </c>
    </row>
    <row r="15" spans="2:14" s="100" customFormat="1" ht="21" customHeight="1" x14ac:dyDescent="0.2">
      <c r="C15" s="101" t="s">
        <v>108</v>
      </c>
      <c r="D15" s="102">
        <f>D5/$B$5</f>
        <v>0.79666476512892537</v>
      </c>
      <c r="E15" s="102">
        <f t="shared" ref="E15:N15" si="1">E5/$B$5</f>
        <v>0.88896822844599088</v>
      </c>
      <c r="F15" s="102">
        <f t="shared" si="1"/>
        <v>0.88890330596921752</v>
      </c>
      <c r="G15" s="102">
        <f t="shared" si="1"/>
        <v>0.8845959270707261</v>
      </c>
      <c r="H15" s="102">
        <f t="shared" si="1"/>
        <v>0.87893132380853556</v>
      </c>
      <c r="I15" s="102">
        <f t="shared" si="1"/>
        <v>0.87254481294600972</v>
      </c>
      <c r="J15" s="102">
        <f t="shared" si="1"/>
        <v>0.88475846760673238</v>
      </c>
      <c r="K15" s="102">
        <f t="shared" si="1"/>
        <v>0.86551730632639823</v>
      </c>
      <c r="L15" s="102">
        <f t="shared" si="1"/>
        <v>0.86551730632639823</v>
      </c>
      <c r="M15" s="102">
        <f t="shared" si="1"/>
        <v>0.86551730632639823</v>
      </c>
      <c r="N15" s="102">
        <f t="shared" si="1"/>
        <v>0.86551730632639823</v>
      </c>
    </row>
    <row r="16" spans="2:14" ht="21" customHeight="1" x14ac:dyDescent="0.2">
      <c r="C16" s="22" t="s">
        <v>104</v>
      </c>
      <c r="D16" s="103">
        <f>D6/$B$6</f>
        <v>0.91650519640655304</v>
      </c>
      <c r="E16" s="103">
        <f t="shared" ref="E16:N16" si="2">E6/$B$6</f>
        <v>0.91650519640655304</v>
      </c>
      <c r="F16" s="103">
        <f t="shared" si="2"/>
        <v>0.91650519640655304</v>
      </c>
      <c r="G16" s="103">
        <f t="shared" si="2"/>
        <v>0.91650519640655304</v>
      </c>
      <c r="H16" s="103">
        <f t="shared" si="2"/>
        <v>0.91650519640655304</v>
      </c>
      <c r="I16" s="103">
        <f t="shared" si="2"/>
        <v>0.91650519640655304</v>
      </c>
      <c r="J16" s="103">
        <f t="shared" si="2"/>
        <v>0.91650519640655304</v>
      </c>
      <c r="K16" s="103">
        <f t="shared" si="2"/>
        <v>0.91650519640655304</v>
      </c>
      <c r="L16" s="103">
        <f t="shared" si="2"/>
        <v>0.91650519640655304</v>
      </c>
      <c r="M16" s="103">
        <f t="shared" si="2"/>
        <v>0.91650519640655304</v>
      </c>
      <c r="N16" s="103">
        <f t="shared" si="2"/>
        <v>0.91650519640655304</v>
      </c>
    </row>
    <row r="17" spans="3:14" ht="21" customHeight="1" x14ac:dyDescent="0.2">
      <c r="C17" s="22" t="s">
        <v>105</v>
      </c>
      <c r="D17" s="103">
        <f>D7/$B$7</f>
        <v>0.9972156514036753</v>
      </c>
      <c r="E17" s="103">
        <f t="shared" ref="E17:N17" si="3">E7/$B$7</f>
        <v>0.9972156514036753</v>
      </c>
      <c r="F17" s="103">
        <f t="shared" si="3"/>
        <v>0.9972156514036753</v>
      </c>
      <c r="G17" s="103">
        <f t="shared" si="3"/>
        <v>0.9972156514036753</v>
      </c>
      <c r="H17" s="103">
        <f t="shared" si="3"/>
        <v>0.9972156514036753</v>
      </c>
      <c r="I17" s="103">
        <f t="shared" si="3"/>
        <v>0.9972156514036753</v>
      </c>
      <c r="J17" s="103">
        <f t="shared" si="3"/>
        <v>0.9972156514036753</v>
      </c>
      <c r="K17" s="103">
        <f t="shared" si="3"/>
        <v>0.9972156514036753</v>
      </c>
      <c r="L17" s="103">
        <f t="shared" si="3"/>
        <v>0.9972156514036753</v>
      </c>
      <c r="M17" s="103">
        <f t="shared" si="3"/>
        <v>0.9972156514036753</v>
      </c>
      <c r="N17" s="103">
        <f t="shared" si="3"/>
        <v>0.9972156514036753</v>
      </c>
    </row>
    <row r="18" spans="3:14" s="23" customFormat="1" ht="21" customHeight="1" x14ac:dyDescent="0.2">
      <c r="C18" s="22" t="s">
        <v>106</v>
      </c>
      <c r="D18" s="103">
        <f>D8/$B$8</f>
        <v>1</v>
      </c>
      <c r="E18" s="103">
        <f t="shared" ref="E18:N18" si="4">E8/$B$8</f>
        <v>1</v>
      </c>
      <c r="F18" s="103">
        <f t="shared" si="4"/>
        <v>1</v>
      </c>
      <c r="G18" s="103">
        <f t="shared" si="4"/>
        <v>1</v>
      </c>
      <c r="H18" s="103">
        <f t="shared" si="4"/>
        <v>1</v>
      </c>
      <c r="I18" s="103">
        <f t="shared" si="4"/>
        <v>1</v>
      </c>
      <c r="J18" s="103">
        <f t="shared" si="4"/>
        <v>1</v>
      </c>
      <c r="K18" s="103">
        <f t="shared" si="4"/>
        <v>1</v>
      </c>
      <c r="L18" s="103">
        <f t="shared" si="4"/>
        <v>1</v>
      </c>
      <c r="M18" s="103">
        <f t="shared" si="4"/>
        <v>1</v>
      </c>
      <c r="N18" s="103">
        <f t="shared" si="4"/>
        <v>1</v>
      </c>
    </row>
    <row r="19" spans="3:14" ht="21" customHeight="1" x14ac:dyDescent="0.2">
      <c r="C19" s="22" t="s">
        <v>67</v>
      </c>
      <c r="D19" s="116">
        <f>D9/$B$9</f>
        <v>0.81120088526963419</v>
      </c>
      <c r="E19" s="116">
        <f t="shared" ref="E19:N19" si="5">E9/$B$9</f>
        <v>0.89625925065207612</v>
      </c>
      <c r="F19" s="116">
        <f t="shared" si="5"/>
        <v>0.89619942408054276</v>
      </c>
      <c r="G19" s="116">
        <f t="shared" si="5"/>
        <v>0.89223014064282402</v>
      </c>
      <c r="H19" s="116">
        <f t="shared" si="5"/>
        <v>0.88701016430925028</v>
      </c>
      <c r="I19" s="116">
        <f t="shared" si="5"/>
        <v>0.88112494446004863</v>
      </c>
      <c r="J19" s="116">
        <f t="shared" si="5"/>
        <v>0.89237992302155866</v>
      </c>
      <c r="K19" s="116">
        <f t="shared" si="5"/>
        <v>0.8746490419933648</v>
      </c>
      <c r="L19" s="116">
        <f t="shared" si="5"/>
        <v>0.8746490419933648</v>
      </c>
      <c r="M19" s="116">
        <f t="shared" si="5"/>
        <v>0.8746490419933648</v>
      </c>
      <c r="N19" s="116">
        <f t="shared" si="5"/>
        <v>0.8746490419933648</v>
      </c>
    </row>
    <row r="20" spans="3:14" ht="21" customHeight="1" x14ac:dyDescent="0.2"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</row>
    <row r="73" spans="6:6" x14ac:dyDescent="0.2">
      <c r="F73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BBE6-21EA-9D49-BBB2-DE365E351B29}">
  <sheetPr>
    <pageSetUpPr fitToPage="1"/>
  </sheetPr>
  <dimension ref="B3:ED81"/>
  <sheetViews>
    <sheetView showGridLines="0" zoomScale="109" zoomScaleNormal="100" workbookViewId="0">
      <selection activeCell="C10" sqref="C10:N10"/>
    </sheetView>
  </sheetViews>
  <sheetFormatPr baseColWidth="10" defaultRowHeight="16" x14ac:dyDescent="0.2"/>
  <cols>
    <col min="1" max="1" width="10.83203125" style="1"/>
    <col min="2" max="2" width="10.83203125" style="22"/>
    <col min="3" max="134" width="14.1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  <c r="BO3" s="6">
        <v>64</v>
      </c>
      <c r="BP3" s="6">
        <v>65</v>
      </c>
      <c r="BQ3" s="6">
        <v>66</v>
      </c>
      <c r="BR3" s="6">
        <v>67</v>
      </c>
      <c r="BS3" s="6">
        <v>68</v>
      </c>
      <c r="BT3" s="6">
        <v>69</v>
      </c>
      <c r="BU3" s="6">
        <v>70</v>
      </c>
      <c r="BV3" s="6">
        <v>71</v>
      </c>
      <c r="BW3" s="6">
        <v>72</v>
      </c>
      <c r="BX3" s="6">
        <v>73</v>
      </c>
      <c r="BY3" s="6">
        <v>74</v>
      </c>
      <c r="BZ3" s="6">
        <v>75</v>
      </c>
      <c r="CA3" s="6">
        <v>76</v>
      </c>
      <c r="CB3" s="6">
        <v>77</v>
      </c>
      <c r="CC3" s="6">
        <v>78</v>
      </c>
      <c r="CD3" s="6">
        <v>79</v>
      </c>
      <c r="CE3" s="6">
        <v>80</v>
      </c>
      <c r="CF3" s="6">
        <v>81</v>
      </c>
      <c r="CG3" s="6">
        <v>82</v>
      </c>
      <c r="CH3" s="6">
        <v>83</v>
      </c>
      <c r="CI3" s="6">
        <v>84</v>
      </c>
      <c r="CJ3" s="6">
        <v>85</v>
      </c>
      <c r="CK3" s="6">
        <v>86</v>
      </c>
      <c r="CL3" s="6">
        <v>87</v>
      </c>
      <c r="CM3" s="6">
        <v>88</v>
      </c>
      <c r="CN3" s="6">
        <v>89</v>
      </c>
      <c r="CO3" s="6">
        <v>90</v>
      </c>
      <c r="CP3" s="6">
        <v>91</v>
      </c>
      <c r="CQ3" s="6">
        <v>92</v>
      </c>
      <c r="CR3" s="6">
        <v>93</v>
      </c>
      <c r="CS3" s="6">
        <v>94</v>
      </c>
      <c r="CT3" s="6">
        <v>95</v>
      </c>
      <c r="CU3" s="6">
        <v>96</v>
      </c>
      <c r="CV3" s="6">
        <v>97</v>
      </c>
      <c r="CW3" s="6">
        <v>98</v>
      </c>
      <c r="CX3" s="6">
        <v>99</v>
      </c>
      <c r="CY3" s="6">
        <v>100</v>
      </c>
      <c r="CZ3" s="6">
        <v>101</v>
      </c>
      <c r="DA3" s="6">
        <v>102</v>
      </c>
      <c r="DB3" s="6">
        <v>103</v>
      </c>
      <c r="DC3" s="6">
        <v>104</v>
      </c>
      <c r="DD3" s="6">
        <v>105</v>
      </c>
      <c r="DE3" s="6">
        <v>106</v>
      </c>
      <c r="DF3" s="6">
        <v>107</v>
      </c>
      <c r="DG3" s="6">
        <v>108</v>
      </c>
      <c r="DH3" s="6">
        <v>109</v>
      </c>
      <c r="DI3" s="6">
        <v>110</v>
      </c>
      <c r="DJ3" s="6">
        <v>111</v>
      </c>
      <c r="DK3" s="6">
        <v>112</v>
      </c>
      <c r="DL3" s="6">
        <v>113</v>
      </c>
      <c r="DM3" s="6">
        <v>114</v>
      </c>
      <c r="DN3" s="6">
        <v>115</v>
      </c>
      <c r="DO3" s="6">
        <v>116</v>
      </c>
      <c r="DP3" s="6">
        <v>117</v>
      </c>
      <c r="DQ3" s="6">
        <v>118</v>
      </c>
      <c r="DR3" s="6">
        <v>119</v>
      </c>
      <c r="DS3" s="6">
        <v>120</v>
      </c>
      <c r="DT3" s="6">
        <v>121</v>
      </c>
      <c r="DU3" s="6">
        <v>122</v>
      </c>
      <c r="DV3" s="6">
        <v>123</v>
      </c>
      <c r="DW3" s="6">
        <v>124</v>
      </c>
      <c r="DX3" s="6">
        <v>125</v>
      </c>
      <c r="DY3" s="6">
        <v>126</v>
      </c>
      <c r="DZ3" s="6">
        <v>127</v>
      </c>
      <c r="EA3" s="6">
        <v>128</v>
      </c>
      <c r="EB3" s="6">
        <v>129</v>
      </c>
      <c r="EC3" s="6">
        <v>130</v>
      </c>
      <c r="ED3" s="6">
        <v>131</v>
      </c>
    </row>
    <row r="4" spans="2:134" s="6" customFormat="1" ht="21" customHeight="1" thickBot="1" x14ac:dyDescent="0.25">
      <c r="B4" s="22" t="s">
        <v>64</v>
      </c>
      <c r="C4" s="108">
        <v>44957</v>
      </c>
      <c r="D4" s="108">
        <v>44985</v>
      </c>
      <c r="E4" s="108">
        <v>45016</v>
      </c>
      <c r="F4" s="108">
        <v>45046</v>
      </c>
      <c r="G4" s="108">
        <v>45077</v>
      </c>
      <c r="H4" s="108">
        <v>45107</v>
      </c>
      <c r="I4" s="108">
        <v>45138</v>
      </c>
      <c r="J4" s="108">
        <v>45169</v>
      </c>
      <c r="K4" s="108">
        <v>45199</v>
      </c>
      <c r="L4" s="108">
        <v>45230</v>
      </c>
      <c r="M4" s="108">
        <v>45260</v>
      </c>
      <c r="N4" s="92">
        <v>45291</v>
      </c>
      <c r="O4" s="92">
        <v>45322</v>
      </c>
      <c r="P4" s="92">
        <v>45351</v>
      </c>
      <c r="Q4" s="92">
        <v>45382</v>
      </c>
      <c r="R4" s="92">
        <v>45412</v>
      </c>
      <c r="S4" s="92">
        <v>45443</v>
      </c>
      <c r="T4" s="92">
        <v>45473</v>
      </c>
      <c r="U4" s="92">
        <v>45504</v>
      </c>
      <c r="V4" s="92">
        <v>45535</v>
      </c>
      <c r="W4" s="92">
        <v>45565</v>
      </c>
      <c r="X4" s="92">
        <v>45596</v>
      </c>
      <c r="Y4" s="92">
        <v>45626</v>
      </c>
      <c r="Z4" s="92">
        <v>45657</v>
      </c>
      <c r="AA4" s="92">
        <v>45688</v>
      </c>
      <c r="AB4" s="92">
        <v>45716</v>
      </c>
      <c r="AC4" s="92">
        <v>45747</v>
      </c>
      <c r="AD4" s="92">
        <v>45777</v>
      </c>
      <c r="AE4" s="92">
        <v>45808</v>
      </c>
      <c r="AF4" s="92">
        <v>45838</v>
      </c>
      <c r="AG4" s="92">
        <v>45869</v>
      </c>
      <c r="AH4" s="92">
        <v>45900</v>
      </c>
      <c r="AI4" s="92">
        <v>45930</v>
      </c>
      <c r="AJ4" s="92">
        <v>45961</v>
      </c>
      <c r="AK4" s="92">
        <v>45991</v>
      </c>
      <c r="AL4" s="92">
        <v>46022</v>
      </c>
      <c r="AM4" s="92">
        <v>46053</v>
      </c>
      <c r="AN4" s="92">
        <v>46081</v>
      </c>
      <c r="AO4" s="92">
        <v>46112</v>
      </c>
      <c r="AP4" s="92">
        <v>46142</v>
      </c>
      <c r="AQ4" s="92">
        <v>46173</v>
      </c>
      <c r="AR4" s="92">
        <v>46203</v>
      </c>
      <c r="AS4" s="92">
        <v>46234</v>
      </c>
      <c r="AT4" s="92">
        <v>46265</v>
      </c>
      <c r="AU4" s="92">
        <v>46295</v>
      </c>
      <c r="AV4" s="92">
        <v>46326</v>
      </c>
      <c r="AW4" s="92">
        <v>46356</v>
      </c>
      <c r="AX4" s="92">
        <v>46387</v>
      </c>
      <c r="AY4" s="92">
        <v>46418</v>
      </c>
      <c r="AZ4" s="92">
        <v>46446</v>
      </c>
      <c r="BA4" s="92">
        <v>46477</v>
      </c>
      <c r="BB4" s="92">
        <v>46507</v>
      </c>
      <c r="BC4" s="92">
        <v>46538</v>
      </c>
      <c r="BD4" s="92">
        <v>46568</v>
      </c>
      <c r="BE4" s="92">
        <v>46599</v>
      </c>
      <c r="BF4" s="92">
        <v>46630</v>
      </c>
      <c r="BG4" s="92">
        <v>46660</v>
      </c>
      <c r="BH4" s="92">
        <v>46691</v>
      </c>
      <c r="BI4" s="92">
        <v>46721</v>
      </c>
      <c r="BJ4" s="92">
        <v>46752</v>
      </c>
      <c r="BK4" s="92">
        <v>46783</v>
      </c>
      <c r="BL4" s="92">
        <v>46812</v>
      </c>
      <c r="BM4" s="92">
        <v>46843</v>
      </c>
      <c r="BN4" s="92">
        <v>46873</v>
      </c>
      <c r="BO4" s="92">
        <v>46904</v>
      </c>
      <c r="BP4" s="92">
        <v>46934</v>
      </c>
      <c r="BQ4" s="92">
        <v>46965</v>
      </c>
      <c r="BR4" s="92">
        <v>46996</v>
      </c>
      <c r="BS4" s="92">
        <v>47026</v>
      </c>
      <c r="BT4" s="92">
        <v>47057</v>
      </c>
      <c r="BU4" s="92">
        <v>47087</v>
      </c>
      <c r="BV4" s="92">
        <v>47118</v>
      </c>
      <c r="BW4" s="92">
        <v>47149</v>
      </c>
      <c r="BX4" s="92">
        <v>47177</v>
      </c>
      <c r="BY4" s="92">
        <v>47208</v>
      </c>
      <c r="BZ4" s="92">
        <v>47238</v>
      </c>
      <c r="CA4" s="92">
        <v>47269</v>
      </c>
      <c r="CB4" s="92">
        <v>47299</v>
      </c>
      <c r="CC4" s="92">
        <v>47330</v>
      </c>
      <c r="CD4" s="92">
        <v>47361</v>
      </c>
      <c r="CE4" s="92">
        <v>47391</v>
      </c>
      <c r="CF4" s="92">
        <v>47422</v>
      </c>
      <c r="CG4" s="92">
        <v>47452</v>
      </c>
      <c r="CH4" s="92">
        <v>47483</v>
      </c>
      <c r="CI4" s="92">
        <v>47514</v>
      </c>
      <c r="CJ4" s="92">
        <v>47542</v>
      </c>
      <c r="CK4" s="92">
        <v>47573</v>
      </c>
      <c r="CL4" s="92">
        <v>47603</v>
      </c>
      <c r="CM4" s="92">
        <v>47634</v>
      </c>
      <c r="CN4" s="92">
        <v>47664</v>
      </c>
      <c r="CO4" s="92">
        <v>47695</v>
      </c>
      <c r="CP4" s="92">
        <v>47726</v>
      </c>
      <c r="CQ4" s="92">
        <v>47756</v>
      </c>
      <c r="CR4" s="92">
        <v>47787</v>
      </c>
      <c r="CS4" s="92">
        <v>47817</v>
      </c>
      <c r="CT4" s="92">
        <v>47848</v>
      </c>
      <c r="CU4" s="92">
        <v>47879</v>
      </c>
      <c r="CV4" s="92">
        <v>47907</v>
      </c>
      <c r="CW4" s="92">
        <v>47938</v>
      </c>
      <c r="CX4" s="92">
        <v>47968</v>
      </c>
      <c r="CY4" s="92">
        <v>47999</v>
      </c>
      <c r="CZ4" s="92">
        <v>48029</v>
      </c>
      <c r="DA4" s="92">
        <v>48060</v>
      </c>
      <c r="DB4" s="92">
        <v>48091</v>
      </c>
      <c r="DC4" s="92">
        <v>48121</v>
      </c>
      <c r="DD4" s="92">
        <v>48152</v>
      </c>
      <c r="DE4" s="92">
        <v>48182</v>
      </c>
      <c r="DF4" s="92">
        <v>48213</v>
      </c>
      <c r="DG4" s="92">
        <v>48244</v>
      </c>
      <c r="DH4" s="92">
        <v>48273</v>
      </c>
      <c r="DI4" s="92">
        <v>48304</v>
      </c>
      <c r="DJ4" s="92">
        <v>48334</v>
      </c>
      <c r="DK4" s="92">
        <v>48365</v>
      </c>
      <c r="DL4" s="92">
        <v>48395</v>
      </c>
      <c r="DM4" s="92">
        <v>48426</v>
      </c>
      <c r="DN4" s="92">
        <v>48457</v>
      </c>
      <c r="DO4" s="92">
        <v>48487</v>
      </c>
      <c r="DP4" s="92">
        <v>48518</v>
      </c>
      <c r="DQ4" s="92">
        <v>48548</v>
      </c>
      <c r="DR4" s="92">
        <v>48579</v>
      </c>
      <c r="DS4" s="92">
        <v>48610</v>
      </c>
      <c r="DT4" s="92">
        <v>48638</v>
      </c>
      <c r="DU4" s="92">
        <v>48669</v>
      </c>
      <c r="DV4" s="92">
        <v>48699</v>
      </c>
      <c r="DW4" s="92">
        <v>48730</v>
      </c>
      <c r="DX4" s="92">
        <v>48760</v>
      </c>
      <c r="DY4" s="92">
        <v>48791</v>
      </c>
      <c r="DZ4" s="92">
        <v>48822</v>
      </c>
      <c r="EA4" s="92">
        <v>48852</v>
      </c>
      <c r="EB4" s="92">
        <v>48883</v>
      </c>
      <c r="EC4" s="92">
        <v>48913</v>
      </c>
      <c r="ED4" s="92">
        <v>48944</v>
      </c>
    </row>
    <row r="5" spans="2:134" ht="21" customHeight="1" x14ac:dyDescent="0.2">
      <c r="B5" s="22" t="s">
        <v>65</v>
      </c>
      <c r="C5" s="25">
        <v>15830286192.601452</v>
      </c>
      <c r="D5" s="26">
        <v>15830286192.601452</v>
      </c>
      <c r="E5" s="26">
        <v>15630134882.90019</v>
      </c>
      <c r="F5" s="26">
        <v>15630134882.90019</v>
      </c>
      <c r="G5" s="26">
        <v>15683826182.90019</v>
      </c>
      <c r="H5" s="26">
        <v>15683826182.90019</v>
      </c>
      <c r="I5" s="26">
        <v>17446673596.25206</v>
      </c>
      <c r="J5" s="26">
        <v>17989106971.25206</v>
      </c>
      <c r="K5" s="26">
        <v>17862233471.25206</v>
      </c>
      <c r="L5" s="26">
        <v>18354257471.25206</v>
      </c>
      <c r="M5" s="26">
        <v>18173241771.25206</v>
      </c>
      <c r="N5" s="94">
        <v>18350377396.25206</v>
      </c>
      <c r="O5" s="93">
        <v>18649599224.605541</v>
      </c>
      <c r="P5" s="93">
        <v>18630513934.605541</v>
      </c>
      <c r="Q5" s="93">
        <v>18630513934.605541</v>
      </c>
      <c r="R5" s="93">
        <v>18770338294.605541</v>
      </c>
      <c r="S5" s="93">
        <v>18754644484.605541</v>
      </c>
      <c r="T5" s="93">
        <v>18754644484.605541</v>
      </c>
      <c r="U5" s="93">
        <v>18854633884.605541</v>
      </c>
      <c r="V5" s="93">
        <v>18854633884.605541</v>
      </c>
      <c r="W5" s="93">
        <v>18854633884.605541</v>
      </c>
      <c r="X5" s="93">
        <v>18854633884.605541</v>
      </c>
      <c r="Y5" s="93">
        <v>18854633884.605541</v>
      </c>
      <c r="Z5" s="93">
        <v>18854633884.605541</v>
      </c>
      <c r="AA5" s="93">
        <v>18854633884.605541</v>
      </c>
      <c r="AB5" s="93">
        <v>18854633884.605541</v>
      </c>
      <c r="AC5" s="93">
        <v>18854633884.605541</v>
      </c>
      <c r="AD5" s="93">
        <v>18854633884.605541</v>
      </c>
      <c r="AE5" s="93">
        <v>18737083524.605541</v>
      </c>
      <c r="AF5" s="93">
        <v>18737083524.605541</v>
      </c>
      <c r="AG5" s="93">
        <v>18737083524.605541</v>
      </c>
      <c r="AH5" s="93">
        <v>18737083524.605541</v>
      </c>
      <c r="AI5" s="93">
        <v>18737083524.605541</v>
      </c>
      <c r="AJ5" s="93">
        <v>18737083524.605541</v>
      </c>
      <c r="AK5" s="93">
        <v>18758798354.605541</v>
      </c>
      <c r="AL5" s="93">
        <v>18758798354.605541</v>
      </c>
      <c r="AM5" s="93">
        <v>18758798354.605541</v>
      </c>
      <c r="AN5" s="93">
        <v>18758798354.605541</v>
      </c>
      <c r="AO5" s="93">
        <v>18758798354.605541</v>
      </c>
      <c r="AP5" s="93">
        <v>18758798354.605541</v>
      </c>
      <c r="AQ5" s="93">
        <v>18705107054.605541</v>
      </c>
      <c r="AR5" s="93">
        <v>18705107054.605541</v>
      </c>
      <c r="AS5" s="93">
        <v>18653026714.605541</v>
      </c>
      <c r="AT5" s="93">
        <v>18653026714.605541</v>
      </c>
      <c r="AU5" s="93">
        <v>18653026714.605541</v>
      </c>
      <c r="AV5" s="93">
        <v>18653026714.605541</v>
      </c>
      <c r="AW5" s="93">
        <v>18653026714.605541</v>
      </c>
      <c r="AX5" s="93">
        <v>18653026714.605541</v>
      </c>
      <c r="AY5" s="93">
        <v>18824407755.859211</v>
      </c>
      <c r="AZ5" s="93">
        <v>18824407755.859211</v>
      </c>
      <c r="BA5" s="93">
        <v>18824407755.859211</v>
      </c>
      <c r="BB5" s="93">
        <v>18824407755.859211</v>
      </c>
      <c r="BC5" s="93">
        <v>18820140140.859211</v>
      </c>
      <c r="BD5" s="93">
        <v>18820140140.859211</v>
      </c>
      <c r="BE5" s="93">
        <v>18820140140.859211</v>
      </c>
      <c r="BF5" s="93">
        <v>18820140140.859211</v>
      </c>
      <c r="BG5" s="93">
        <v>17636129840.859211</v>
      </c>
      <c r="BH5" s="93">
        <v>17636129840.859211</v>
      </c>
      <c r="BI5" s="93">
        <v>17636129840.859211</v>
      </c>
      <c r="BJ5" s="93">
        <v>17636129840.859211</v>
      </c>
      <c r="BK5" s="93">
        <v>18473545529.213417</v>
      </c>
      <c r="BL5" s="93">
        <v>18473545529.213417</v>
      </c>
      <c r="BM5" s="93">
        <v>18473545529.213417</v>
      </c>
      <c r="BN5" s="93">
        <v>18473545529.213417</v>
      </c>
      <c r="BO5" s="93">
        <v>18473545529.213417</v>
      </c>
      <c r="BP5" s="93">
        <v>18473545529.213417</v>
      </c>
      <c r="BQ5" s="93">
        <v>18473545529.213417</v>
      </c>
      <c r="BR5" s="93">
        <v>18473545529.213417</v>
      </c>
      <c r="BS5" s="93">
        <v>18473545529.213417</v>
      </c>
      <c r="BT5" s="93">
        <v>18473545529.213417</v>
      </c>
      <c r="BU5" s="93">
        <v>18473545529.213417</v>
      </c>
      <c r="BV5" s="93">
        <v>18473545529.213417</v>
      </c>
      <c r="BW5" s="93">
        <v>18813238304.213417</v>
      </c>
      <c r="BX5" s="93">
        <v>18813238304.213417</v>
      </c>
      <c r="BY5" s="93">
        <v>18813238304.213417</v>
      </c>
      <c r="BZ5" s="93">
        <v>18698302304.213417</v>
      </c>
      <c r="CA5" s="93">
        <v>18805681004.213417</v>
      </c>
      <c r="CB5" s="93">
        <v>18805681004.213417</v>
      </c>
      <c r="CC5" s="93">
        <v>19619670458.91597</v>
      </c>
      <c r="CD5" s="93">
        <v>19540356703.91597</v>
      </c>
      <c r="CE5" s="93">
        <v>19540356703.91597</v>
      </c>
      <c r="CF5" s="93">
        <v>19540356703.91597</v>
      </c>
      <c r="CG5" s="93">
        <v>19540356703.91597</v>
      </c>
      <c r="CH5" s="93">
        <v>19540356703.91597</v>
      </c>
      <c r="CI5" s="93">
        <v>19156381178.91597</v>
      </c>
      <c r="CJ5" s="93">
        <v>19156381178.91597</v>
      </c>
      <c r="CK5" s="93">
        <v>19156381178.91597</v>
      </c>
      <c r="CL5" s="93">
        <v>19156381178.91597</v>
      </c>
      <c r="CM5" s="93">
        <v>19156381178.91597</v>
      </c>
      <c r="CN5" s="93">
        <v>19156381178.91597</v>
      </c>
      <c r="CO5" s="93">
        <v>19759976378.91597</v>
      </c>
      <c r="CP5" s="93">
        <v>19759976378.91597</v>
      </c>
      <c r="CQ5" s="93">
        <v>19759976378.91597</v>
      </c>
      <c r="CR5" s="93">
        <v>19759976378.91597</v>
      </c>
      <c r="CS5" s="93">
        <v>19759976378.91597</v>
      </c>
      <c r="CT5" s="93">
        <v>19759976378.91597</v>
      </c>
      <c r="CU5" s="93">
        <v>19759976378.91597</v>
      </c>
      <c r="CV5" s="93">
        <v>19759976378.91597</v>
      </c>
      <c r="CW5" s="93">
        <v>19759976378.91597</v>
      </c>
      <c r="CX5" s="93">
        <v>19759976378.91597</v>
      </c>
      <c r="CY5" s="93">
        <v>19759976378.91597</v>
      </c>
      <c r="CZ5" s="93">
        <v>19759976378.91597</v>
      </c>
      <c r="DA5" s="93">
        <v>19759976378.91597</v>
      </c>
      <c r="DB5" s="93">
        <v>19759976378.91597</v>
      </c>
      <c r="DC5" s="93">
        <v>19759976378.91597</v>
      </c>
      <c r="DD5" s="93">
        <v>19759976378.91597</v>
      </c>
      <c r="DE5" s="93">
        <v>19759976378.91597</v>
      </c>
      <c r="DF5" s="93">
        <v>19759976378.91597</v>
      </c>
      <c r="DG5" s="93">
        <v>19759976378.91597</v>
      </c>
      <c r="DH5" s="93">
        <v>19759976378.91597</v>
      </c>
      <c r="DI5" s="93">
        <v>19759976378.91597</v>
      </c>
      <c r="DJ5" s="93">
        <v>19759976378.91597</v>
      </c>
      <c r="DK5" s="93">
        <v>19759976378.91597</v>
      </c>
      <c r="DL5" s="93">
        <v>19759976378.91597</v>
      </c>
      <c r="DM5" s="93">
        <v>19759976378.91597</v>
      </c>
      <c r="DN5" s="93">
        <v>19759976378.91597</v>
      </c>
      <c r="DO5" s="93">
        <v>19759976378.91597</v>
      </c>
      <c r="DP5" s="93">
        <v>19759976378.91597</v>
      </c>
      <c r="DQ5" s="93">
        <v>19759976378.91597</v>
      </c>
      <c r="DR5" s="93">
        <v>19759976378.91597</v>
      </c>
      <c r="DS5" s="93">
        <v>19759976378.91597</v>
      </c>
      <c r="DT5" s="93">
        <v>19759976378.91597</v>
      </c>
      <c r="DU5" s="93">
        <v>19759976378.91597</v>
      </c>
      <c r="DV5" s="93">
        <v>19759976378.91597</v>
      </c>
      <c r="DW5" s="93">
        <v>19759976378.91597</v>
      </c>
      <c r="DX5" s="93">
        <v>19759976378.91597</v>
      </c>
      <c r="DY5" s="93">
        <v>19759976378.91597</v>
      </c>
      <c r="DZ5" s="93">
        <v>19759976378.91597</v>
      </c>
      <c r="EA5" s="93">
        <v>19759976378.91597</v>
      </c>
      <c r="EB5" s="93">
        <v>19759976378.91597</v>
      </c>
      <c r="EC5" s="93">
        <v>19759976378.91597</v>
      </c>
      <c r="ED5" s="93">
        <v>19759976378.91597</v>
      </c>
    </row>
    <row r="6" spans="2:134" ht="21" customHeight="1" x14ac:dyDescent="0.2">
      <c r="B6" s="22" t="s">
        <v>66</v>
      </c>
      <c r="C6" s="25">
        <v>3316852365.9941287</v>
      </c>
      <c r="D6" s="26">
        <v>3316852365.9941287</v>
      </c>
      <c r="E6" s="26">
        <v>3299223250.2628217</v>
      </c>
      <c r="F6" s="26">
        <v>3299223250.2628217</v>
      </c>
      <c r="G6" s="26">
        <v>3308860150.2628217</v>
      </c>
      <c r="H6" s="26">
        <v>3308860150.2628217</v>
      </c>
      <c r="I6" s="26">
        <v>3715276711.2804556</v>
      </c>
      <c r="J6" s="26">
        <v>3830743192.2804556</v>
      </c>
      <c r="K6" s="26">
        <v>3830743192.2804556</v>
      </c>
      <c r="L6" s="26">
        <v>3916847392.2804556</v>
      </c>
      <c r="M6" s="26">
        <v>3886931492.2804556</v>
      </c>
      <c r="N6" s="26">
        <v>3928026957.2804556</v>
      </c>
      <c r="O6" s="26">
        <v>3997384898.2804556</v>
      </c>
      <c r="P6" s="26">
        <v>3994766198.2804556</v>
      </c>
      <c r="Q6" s="26">
        <v>3994766198.2804556</v>
      </c>
      <c r="R6" s="26">
        <v>4013717298.2804556</v>
      </c>
      <c r="S6" s="26">
        <v>4013717298.2804556</v>
      </c>
      <c r="T6" s="26">
        <v>4013717298.2804556</v>
      </c>
      <c r="U6" s="26">
        <v>4032762898.2804556</v>
      </c>
      <c r="V6" s="26">
        <v>4032762898.2804556</v>
      </c>
      <c r="W6" s="26">
        <v>4032762898.2804556</v>
      </c>
      <c r="X6" s="26">
        <v>4032762898.2804556</v>
      </c>
      <c r="Y6" s="26">
        <v>4032762898.2804556</v>
      </c>
      <c r="Z6" s="26">
        <v>4032762898.2804556</v>
      </c>
      <c r="AA6" s="26">
        <v>4032762898.2804556</v>
      </c>
      <c r="AB6" s="26">
        <v>4032762898.2804556</v>
      </c>
      <c r="AC6" s="26">
        <v>4032762898.2804556</v>
      </c>
      <c r="AD6" s="26">
        <v>4153497152.4420857</v>
      </c>
      <c r="AE6" s="26">
        <v>4130478152.4420857</v>
      </c>
      <c r="AF6" s="26">
        <v>4130478152.4420857</v>
      </c>
      <c r="AG6" s="26">
        <v>4130478152.4420857</v>
      </c>
      <c r="AH6" s="26">
        <v>4130478152.4420857</v>
      </c>
      <c r="AI6" s="26">
        <v>4130478152.4420857</v>
      </c>
      <c r="AJ6" s="26">
        <v>4130478152.4420857</v>
      </c>
      <c r="AK6" s="26">
        <v>4130628152.4420857</v>
      </c>
      <c r="AL6" s="26">
        <v>4130628152.4420857</v>
      </c>
      <c r="AM6" s="26">
        <v>4130628152.4420857</v>
      </c>
      <c r="AN6" s="26">
        <v>4130628152.4420857</v>
      </c>
      <c r="AO6" s="26">
        <v>4130628152.4420857</v>
      </c>
      <c r="AP6" s="26">
        <v>4130628152.4420857</v>
      </c>
      <c r="AQ6" s="26">
        <v>4120302902.4420857</v>
      </c>
      <c r="AR6" s="26">
        <v>4120302902.4420857</v>
      </c>
      <c r="AS6" s="26">
        <v>4110104402.4420857</v>
      </c>
      <c r="AT6" s="26">
        <v>4110104402.4420857</v>
      </c>
      <c r="AU6" s="26">
        <v>4110104402.4420857</v>
      </c>
      <c r="AV6" s="26">
        <v>4110104402.4420857</v>
      </c>
      <c r="AW6" s="26">
        <v>4110104402.4420857</v>
      </c>
      <c r="AX6" s="26">
        <v>4110104402.4420857</v>
      </c>
      <c r="AY6" s="26">
        <v>4141980214.8665376</v>
      </c>
      <c r="AZ6" s="26">
        <v>4141980214.8665376</v>
      </c>
      <c r="BA6" s="26">
        <v>4141980214.8665376</v>
      </c>
      <c r="BB6" s="26">
        <v>4141980214.8665376</v>
      </c>
      <c r="BC6" s="26">
        <v>4141980214.8665376</v>
      </c>
      <c r="BD6" s="26">
        <v>4141980214.8665376</v>
      </c>
      <c r="BE6" s="26">
        <v>4141980214.8665376</v>
      </c>
      <c r="BF6" s="26">
        <v>4141980214.8665376</v>
      </c>
      <c r="BG6" s="26">
        <v>3909821464.8665376</v>
      </c>
      <c r="BH6" s="26">
        <v>3909821464.8665376</v>
      </c>
      <c r="BI6" s="26">
        <v>3909821464.8665376</v>
      </c>
      <c r="BJ6" s="26">
        <v>3909821464.8665376</v>
      </c>
      <c r="BK6" s="26">
        <v>4082664511.2512922</v>
      </c>
      <c r="BL6" s="26">
        <v>4082664511.2512922</v>
      </c>
      <c r="BM6" s="26">
        <v>4082664511.2512922</v>
      </c>
      <c r="BN6" s="26">
        <v>4194284270.600203</v>
      </c>
      <c r="BO6" s="26">
        <v>4194284270.600203</v>
      </c>
      <c r="BP6" s="26">
        <v>4194284270.600203</v>
      </c>
      <c r="BQ6" s="26">
        <v>4194284270.600203</v>
      </c>
      <c r="BR6" s="26">
        <v>4194284270.600203</v>
      </c>
      <c r="BS6" s="26">
        <v>4194284270.600203</v>
      </c>
      <c r="BT6" s="26">
        <v>4194284270.600203</v>
      </c>
      <c r="BU6" s="26">
        <v>4194284270.600203</v>
      </c>
      <c r="BV6" s="26">
        <v>4194284270.600203</v>
      </c>
      <c r="BW6" s="26">
        <v>4260169051.600203</v>
      </c>
      <c r="BX6" s="26">
        <v>4260169051.600203</v>
      </c>
      <c r="BY6" s="26">
        <v>4260169051.600203</v>
      </c>
      <c r="BZ6" s="26">
        <v>4237181851.600203</v>
      </c>
      <c r="CA6" s="26">
        <v>4259208251.600203</v>
      </c>
      <c r="CB6" s="26">
        <v>4259208251.600203</v>
      </c>
      <c r="CC6" s="26">
        <v>4280974651.600203</v>
      </c>
      <c r="CD6" s="26">
        <v>4258948251.600203</v>
      </c>
      <c r="CE6" s="26">
        <v>4258948251.600203</v>
      </c>
      <c r="CF6" s="26">
        <v>4247946651.600203</v>
      </c>
      <c r="CG6" s="26">
        <v>4247946651.600203</v>
      </c>
      <c r="CH6" s="26">
        <v>4247946651.600203</v>
      </c>
      <c r="CI6" s="26">
        <v>4160295470.600203</v>
      </c>
      <c r="CJ6" s="26">
        <v>4160295470.600203</v>
      </c>
      <c r="CK6" s="26">
        <v>4160295470.600203</v>
      </c>
      <c r="CL6" s="26">
        <v>4160295470.600203</v>
      </c>
      <c r="CM6" s="26">
        <v>4160295470.600203</v>
      </c>
      <c r="CN6" s="26">
        <v>4160295470.600203</v>
      </c>
      <c r="CO6" s="26">
        <v>4284109870.600203</v>
      </c>
      <c r="CP6" s="26">
        <v>4284109870.600203</v>
      </c>
      <c r="CQ6" s="26">
        <v>4284109870.600203</v>
      </c>
      <c r="CR6" s="26">
        <v>4284109870.600203</v>
      </c>
      <c r="CS6" s="26">
        <v>4284109870.600203</v>
      </c>
      <c r="CT6" s="26">
        <v>4284109870.600203</v>
      </c>
      <c r="CU6" s="26">
        <v>4284109870.600203</v>
      </c>
      <c r="CV6" s="26">
        <v>4284109870.600203</v>
      </c>
      <c r="CW6" s="26">
        <v>4284109870.600203</v>
      </c>
      <c r="CX6" s="26">
        <v>4401343729.9491138</v>
      </c>
      <c r="CY6" s="26">
        <v>4401343729.9491138</v>
      </c>
      <c r="CZ6" s="26">
        <v>4401343729.9491138</v>
      </c>
      <c r="DA6" s="26">
        <v>4401343729.9491138</v>
      </c>
      <c r="DB6" s="26">
        <v>4401343729.9491138</v>
      </c>
      <c r="DC6" s="26">
        <v>4401343729.9491138</v>
      </c>
      <c r="DD6" s="26">
        <v>4401343729.9491138</v>
      </c>
      <c r="DE6" s="26">
        <v>4401343729.9491138</v>
      </c>
      <c r="DF6" s="26">
        <v>4401343729.9491138</v>
      </c>
      <c r="DG6" s="26">
        <v>4401343729.9491138</v>
      </c>
      <c r="DH6" s="26">
        <v>4401343729.9491138</v>
      </c>
      <c r="DI6" s="26">
        <v>4401343729.9491138</v>
      </c>
      <c r="DJ6" s="26">
        <v>4401343729.9491138</v>
      </c>
      <c r="DK6" s="26">
        <v>4401343729.9491138</v>
      </c>
      <c r="DL6" s="26">
        <v>4401343729.9491138</v>
      </c>
      <c r="DM6" s="26">
        <v>4401343729.9491138</v>
      </c>
      <c r="DN6" s="26">
        <v>4401343729.9491138</v>
      </c>
      <c r="DO6" s="26">
        <v>4401343729.9491138</v>
      </c>
      <c r="DP6" s="26">
        <v>4401343729.9491138</v>
      </c>
      <c r="DQ6" s="26">
        <v>4401343729.9491138</v>
      </c>
      <c r="DR6" s="26">
        <v>4401343729.9491138</v>
      </c>
      <c r="DS6" s="26">
        <v>4401343729.9491138</v>
      </c>
      <c r="DT6" s="26">
        <v>4401343729.9491138</v>
      </c>
      <c r="DU6" s="26">
        <v>4401343729.9491138</v>
      </c>
      <c r="DV6" s="26">
        <v>4401343729.9491138</v>
      </c>
      <c r="DW6" s="26">
        <v>4401343729.9491138</v>
      </c>
      <c r="DX6" s="26">
        <v>4401343729.9491138</v>
      </c>
      <c r="DY6" s="26">
        <v>4401343729.9491138</v>
      </c>
      <c r="DZ6" s="26">
        <v>4401343729.9491138</v>
      </c>
      <c r="EA6" s="26">
        <v>4401343729.9491138</v>
      </c>
      <c r="EB6" s="26">
        <v>4401343729.9491138</v>
      </c>
      <c r="EC6" s="26">
        <v>4401343729.9491138</v>
      </c>
      <c r="ED6" s="26">
        <v>4401343729.9491138</v>
      </c>
    </row>
    <row r="7" spans="2:134" s="23" customFormat="1" ht="21" customHeight="1" x14ac:dyDescent="0.2">
      <c r="B7" s="22" t="s">
        <v>20</v>
      </c>
      <c r="C7" s="27">
        <v>19147138558.595581</v>
      </c>
      <c r="D7" s="28">
        <v>19147138558.595581</v>
      </c>
      <c r="E7" s="28">
        <v>18929358133.163013</v>
      </c>
      <c r="F7" s="28">
        <v>18929358133.163013</v>
      </c>
      <c r="G7" s="28">
        <v>18992686333.163013</v>
      </c>
      <c r="H7" s="28">
        <v>18992686333.163013</v>
      </c>
      <c r="I7" s="28">
        <v>21161950307.532516</v>
      </c>
      <c r="J7" s="28">
        <v>21819850163.532516</v>
      </c>
      <c r="K7" s="28">
        <v>21692976663.532516</v>
      </c>
      <c r="L7" s="28">
        <v>22271104863.532516</v>
      </c>
      <c r="M7" s="28">
        <v>22060173263.532516</v>
      </c>
      <c r="N7" s="28">
        <v>22278404353.532516</v>
      </c>
      <c r="O7" s="28">
        <v>22646984122.885998</v>
      </c>
      <c r="P7" s="28">
        <v>22625280132.885998</v>
      </c>
      <c r="Q7" s="28">
        <v>22625280132.885998</v>
      </c>
      <c r="R7" s="28">
        <v>22784055592.885998</v>
      </c>
      <c r="S7" s="28">
        <v>22768361782.885998</v>
      </c>
      <c r="T7" s="28">
        <v>22768361782.885998</v>
      </c>
      <c r="U7" s="28">
        <v>22887396782.885998</v>
      </c>
      <c r="V7" s="28">
        <v>22887396782.885998</v>
      </c>
      <c r="W7" s="28">
        <v>22887396782.885998</v>
      </c>
      <c r="X7" s="28">
        <v>22887396782.885998</v>
      </c>
      <c r="Y7" s="28">
        <v>22887396782.885998</v>
      </c>
      <c r="Z7" s="28">
        <v>22887396782.885998</v>
      </c>
      <c r="AA7" s="28">
        <v>22887396782.885998</v>
      </c>
      <c r="AB7" s="28">
        <v>22887396782.885998</v>
      </c>
      <c r="AC7" s="28">
        <v>22887396782.885998</v>
      </c>
      <c r="AD7" s="28">
        <v>23008131037.047626</v>
      </c>
      <c r="AE7" s="28">
        <v>22867561677.047626</v>
      </c>
      <c r="AF7" s="28">
        <v>22867561677.047626</v>
      </c>
      <c r="AG7" s="28">
        <v>22867561677.047626</v>
      </c>
      <c r="AH7" s="28">
        <v>22867561677.047626</v>
      </c>
      <c r="AI7" s="28">
        <v>22867561677.047626</v>
      </c>
      <c r="AJ7" s="28">
        <v>22867561677.047626</v>
      </c>
      <c r="AK7" s="28">
        <v>22889426507.047626</v>
      </c>
      <c r="AL7" s="28">
        <v>22889426507.047626</v>
      </c>
      <c r="AM7" s="28">
        <v>22889426507.047626</v>
      </c>
      <c r="AN7" s="28">
        <v>22889426507.047626</v>
      </c>
      <c r="AO7" s="28">
        <v>22889426507.047626</v>
      </c>
      <c r="AP7" s="28">
        <v>22889426507.047626</v>
      </c>
      <c r="AQ7" s="28">
        <v>22825409957.047626</v>
      </c>
      <c r="AR7" s="28">
        <v>22825409957.047626</v>
      </c>
      <c r="AS7" s="28">
        <v>22763131117.047626</v>
      </c>
      <c r="AT7" s="28">
        <v>22763131117.047626</v>
      </c>
      <c r="AU7" s="28">
        <v>22763131117.047626</v>
      </c>
      <c r="AV7" s="28">
        <v>22763131117.047626</v>
      </c>
      <c r="AW7" s="28">
        <v>22763131117.047626</v>
      </c>
      <c r="AX7" s="28">
        <v>22763131117.047626</v>
      </c>
      <c r="AY7" s="28">
        <v>22966387970.72575</v>
      </c>
      <c r="AZ7" s="28">
        <v>22966387970.72575</v>
      </c>
      <c r="BA7" s="28">
        <v>22966387970.72575</v>
      </c>
      <c r="BB7" s="28">
        <v>22966387970.72575</v>
      </c>
      <c r="BC7" s="28">
        <v>22962120355.72575</v>
      </c>
      <c r="BD7" s="28">
        <v>22962120355.72575</v>
      </c>
      <c r="BE7" s="28">
        <v>22962120355.72575</v>
      </c>
      <c r="BF7" s="28">
        <v>22962120355.72575</v>
      </c>
      <c r="BG7" s="28">
        <v>21545951305.72575</v>
      </c>
      <c r="BH7" s="28">
        <v>21545951305.72575</v>
      </c>
      <c r="BI7" s="28">
        <v>21545951305.72575</v>
      </c>
      <c r="BJ7" s="28">
        <v>21545951305.72575</v>
      </c>
      <c r="BK7" s="28">
        <v>22556210040.46471</v>
      </c>
      <c r="BL7" s="28">
        <v>22556210040.46471</v>
      </c>
      <c r="BM7" s="28">
        <v>22556210040.46471</v>
      </c>
      <c r="BN7" s="28">
        <v>22667829799.813622</v>
      </c>
      <c r="BO7" s="28">
        <v>22667829799.813622</v>
      </c>
      <c r="BP7" s="28">
        <v>22667829799.813622</v>
      </c>
      <c r="BQ7" s="28">
        <v>22667829799.813622</v>
      </c>
      <c r="BR7" s="28">
        <v>22667829799.813622</v>
      </c>
      <c r="BS7" s="28">
        <v>22667829799.813622</v>
      </c>
      <c r="BT7" s="28">
        <v>22667829799.813622</v>
      </c>
      <c r="BU7" s="28">
        <v>22667829799.813622</v>
      </c>
      <c r="BV7" s="28">
        <v>22667829799.813622</v>
      </c>
      <c r="BW7" s="28">
        <v>23073407355.813622</v>
      </c>
      <c r="BX7" s="28">
        <v>23073407355.813622</v>
      </c>
      <c r="BY7" s="28">
        <v>23073407355.813622</v>
      </c>
      <c r="BZ7" s="28">
        <v>22935484155.813622</v>
      </c>
      <c r="CA7" s="28">
        <v>23064889255.813622</v>
      </c>
      <c r="CB7" s="28">
        <v>23064889255.813622</v>
      </c>
      <c r="CC7" s="28">
        <v>23900645110.516174</v>
      </c>
      <c r="CD7" s="28">
        <v>23799304955.516174</v>
      </c>
      <c r="CE7" s="28">
        <v>23799304955.516174</v>
      </c>
      <c r="CF7" s="28">
        <v>23788303355.516174</v>
      </c>
      <c r="CG7" s="28">
        <v>23788303355.516174</v>
      </c>
      <c r="CH7" s="28">
        <v>23788303355.516174</v>
      </c>
      <c r="CI7" s="28">
        <v>23316676649.516174</v>
      </c>
      <c r="CJ7" s="28">
        <v>23316676649.516174</v>
      </c>
      <c r="CK7" s="28">
        <v>23316676649.516174</v>
      </c>
      <c r="CL7" s="28">
        <v>23316676649.516174</v>
      </c>
      <c r="CM7" s="28">
        <v>23316676649.516174</v>
      </c>
      <c r="CN7" s="28">
        <v>23316676649.516174</v>
      </c>
      <c r="CO7" s="28">
        <v>24044086249.516174</v>
      </c>
      <c r="CP7" s="28">
        <v>24044086249.516174</v>
      </c>
      <c r="CQ7" s="28">
        <v>24044086249.516174</v>
      </c>
      <c r="CR7" s="28">
        <v>24044086249.516174</v>
      </c>
      <c r="CS7" s="28">
        <v>24044086249.516174</v>
      </c>
      <c r="CT7" s="28">
        <v>24044086249.516174</v>
      </c>
      <c r="CU7" s="28">
        <v>24044086249.516174</v>
      </c>
      <c r="CV7" s="28">
        <v>24044086249.516174</v>
      </c>
      <c r="CW7" s="28">
        <v>24044086249.516174</v>
      </c>
      <c r="CX7" s="28">
        <v>24161320108.865082</v>
      </c>
      <c r="CY7" s="28">
        <v>24161320108.865082</v>
      </c>
      <c r="CZ7" s="28">
        <v>24161320108.865082</v>
      </c>
      <c r="DA7" s="28">
        <v>24161320108.865082</v>
      </c>
      <c r="DB7" s="28">
        <v>24161320108.865082</v>
      </c>
      <c r="DC7" s="28">
        <v>24161320108.865082</v>
      </c>
      <c r="DD7" s="28">
        <v>24161320108.865082</v>
      </c>
      <c r="DE7" s="28">
        <v>24161320108.865082</v>
      </c>
      <c r="DF7" s="28">
        <v>24161320108.865082</v>
      </c>
      <c r="DG7" s="28">
        <v>24161320108.865082</v>
      </c>
      <c r="DH7" s="28">
        <v>24161320108.865082</v>
      </c>
      <c r="DI7" s="28">
        <v>24161320108.865082</v>
      </c>
      <c r="DJ7" s="28">
        <v>24161320108.865082</v>
      </c>
      <c r="DK7" s="28">
        <v>24161320108.865082</v>
      </c>
      <c r="DL7" s="28">
        <v>24161320108.865082</v>
      </c>
      <c r="DM7" s="28">
        <v>24161320108.865082</v>
      </c>
      <c r="DN7" s="28">
        <v>24161320108.865082</v>
      </c>
      <c r="DO7" s="28">
        <v>24161320108.865082</v>
      </c>
      <c r="DP7" s="28">
        <v>24161320108.865082</v>
      </c>
      <c r="DQ7" s="28">
        <v>24161320108.865082</v>
      </c>
      <c r="DR7" s="28">
        <v>24161320108.865082</v>
      </c>
      <c r="DS7" s="28">
        <v>24161320108.865082</v>
      </c>
      <c r="DT7" s="28">
        <v>24161320108.865082</v>
      </c>
      <c r="DU7" s="28">
        <v>24161320108.865082</v>
      </c>
      <c r="DV7" s="28">
        <v>24161320108.865082</v>
      </c>
      <c r="DW7" s="28">
        <v>24161320108.865082</v>
      </c>
      <c r="DX7" s="28">
        <v>24161320108.865082</v>
      </c>
      <c r="DY7" s="28">
        <v>24161320108.865082</v>
      </c>
      <c r="DZ7" s="28">
        <v>24161320108.865082</v>
      </c>
      <c r="EA7" s="28">
        <v>24161320108.865082</v>
      </c>
      <c r="EB7" s="28">
        <v>24161320108.865082</v>
      </c>
      <c r="EC7" s="28">
        <v>24161320108.865082</v>
      </c>
      <c r="ED7" s="28">
        <v>24161320108.865082</v>
      </c>
    </row>
    <row r="8" spans="2:134" ht="21" customHeight="1" x14ac:dyDescent="0.2">
      <c r="B8" s="22" t="s">
        <v>67</v>
      </c>
      <c r="C8" s="25">
        <v>44928.815342773254</v>
      </c>
      <c r="D8" s="26">
        <v>44928.815342773254</v>
      </c>
      <c r="E8" s="26">
        <v>44676.970832326013</v>
      </c>
      <c r="F8" s="26">
        <v>44676.970832326013</v>
      </c>
      <c r="G8" s="26">
        <v>44814.640832326011</v>
      </c>
      <c r="H8" s="26">
        <v>44814.640832326011</v>
      </c>
      <c r="I8" s="26">
        <v>49667.978276055313</v>
      </c>
      <c r="J8" s="26">
        <v>51228.788276055311</v>
      </c>
      <c r="K8" s="26">
        <v>51228.788276055311</v>
      </c>
      <c r="L8" s="26">
        <v>52458.848276055309</v>
      </c>
      <c r="M8" s="26">
        <v>52031.478276055313</v>
      </c>
      <c r="N8" s="26">
        <v>52520.128276055315</v>
      </c>
      <c r="O8" s="26">
        <v>53441.058276055308</v>
      </c>
      <c r="P8" s="26">
        <v>53403.648276055304</v>
      </c>
      <c r="Q8" s="26">
        <v>53403.648276055304</v>
      </c>
      <c r="R8" s="26">
        <v>53673.378276055308</v>
      </c>
      <c r="S8" s="26">
        <v>53673.378276055308</v>
      </c>
      <c r="T8" s="26">
        <v>53673.378276055308</v>
      </c>
      <c r="U8" s="26">
        <v>53945.458276055309</v>
      </c>
      <c r="V8" s="26">
        <v>53945.458276055309</v>
      </c>
      <c r="W8" s="26">
        <v>53945.458276055309</v>
      </c>
      <c r="X8" s="26">
        <v>53945.458276055309</v>
      </c>
      <c r="Y8" s="26">
        <v>53945.458276055309</v>
      </c>
      <c r="Z8" s="26">
        <v>53945.458276055309</v>
      </c>
      <c r="AA8" s="26">
        <v>53945.458276055309</v>
      </c>
      <c r="AB8" s="26">
        <v>53945.458276055309</v>
      </c>
      <c r="AC8" s="26">
        <v>53945.458276055309</v>
      </c>
      <c r="AD8" s="26">
        <v>53945.458276055309</v>
      </c>
      <c r="AE8" s="26">
        <v>53638.538276055311</v>
      </c>
      <c r="AF8" s="26">
        <v>53638.538276055311</v>
      </c>
      <c r="AG8" s="26">
        <v>53638.538276055311</v>
      </c>
      <c r="AH8" s="26">
        <v>53638.538276055311</v>
      </c>
      <c r="AI8" s="26">
        <v>53638.538276055311</v>
      </c>
      <c r="AJ8" s="26">
        <v>53638.538276055311</v>
      </c>
      <c r="AK8" s="26">
        <v>53640.538276055311</v>
      </c>
      <c r="AL8" s="26">
        <v>53640.538276055311</v>
      </c>
      <c r="AM8" s="26">
        <v>53640.538276055311</v>
      </c>
      <c r="AN8" s="26">
        <v>53640.538276055311</v>
      </c>
      <c r="AO8" s="26">
        <v>53640.538276055311</v>
      </c>
      <c r="AP8" s="26">
        <v>53640.538276055311</v>
      </c>
      <c r="AQ8" s="26">
        <v>53502.868276055306</v>
      </c>
      <c r="AR8" s="26">
        <v>53502.868276055306</v>
      </c>
      <c r="AS8" s="26">
        <v>53366.888276055302</v>
      </c>
      <c r="AT8" s="26">
        <v>53366.888276055302</v>
      </c>
      <c r="AU8" s="26">
        <v>53366.888276055302</v>
      </c>
      <c r="AV8" s="26">
        <v>53366.888276055302</v>
      </c>
      <c r="AW8" s="26">
        <v>53366.888276055302</v>
      </c>
      <c r="AX8" s="26">
        <v>53366.888276055302</v>
      </c>
      <c r="AY8" s="26">
        <v>53791.899108381323</v>
      </c>
      <c r="AZ8" s="26">
        <v>53791.899108381323</v>
      </c>
      <c r="BA8" s="26">
        <v>53791.899108381323</v>
      </c>
      <c r="BB8" s="26">
        <v>53791.899108381323</v>
      </c>
      <c r="BC8" s="26">
        <v>53791.899108381323</v>
      </c>
      <c r="BD8" s="26">
        <v>53791.899108381323</v>
      </c>
      <c r="BE8" s="26">
        <v>53791.899108381323</v>
      </c>
      <c r="BF8" s="26">
        <v>53791.899108381323</v>
      </c>
      <c r="BG8" s="26">
        <v>50696.449108381326</v>
      </c>
      <c r="BH8" s="26">
        <v>50696.449108381326</v>
      </c>
      <c r="BI8" s="26">
        <v>50696.449108381326</v>
      </c>
      <c r="BJ8" s="26">
        <v>50696.449108381326</v>
      </c>
      <c r="BK8" s="26">
        <v>52905.969313511392</v>
      </c>
      <c r="BL8" s="26">
        <v>52905.969313511392</v>
      </c>
      <c r="BM8" s="26">
        <v>52905.969313511392</v>
      </c>
      <c r="BN8" s="26">
        <v>52905.969313511392</v>
      </c>
      <c r="BO8" s="26">
        <v>52905.969313511392</v>
      </c>
      <c r="BP8" s="26">
        <v>52905.969313511392</v>
      </c>
      <c r="BQ8" s="26">
        <v>52905.969313511392</v>
      </c>
      <c r="BR8" s="26">
        <v>52905.969313511392</v>
      </c>
      <c r="BS8" s="26">
        <v>52905.969313511392</v>
      </c>
      <c r="BT8" s="26">
        <v>52905.969313511392</v>
      </c>
      <c r="BU8" s="26">
        <v>52905.969313511392</v>
      </c>
      <c r="BV8" s="26">
        <v>52905.969313511392</v>
      </c>
      <c r="BW8" s="26">
        <v>53689.379313511396</v>
      </c>
      <c r="BX8" s="26">
        <v>53689.379313511396</v>
      </c>
      <c r="BY8" s="26">
        <v>53689.379313511396</v>
      </c>
      <c r="BZ8" s="26">
        <v>53402.039313511399</v>
      </c>
      <c r="CA8" s="26">
        <v>53677.369313511401</v>
      </c>
      <c r="CB8" s="26">
        <v>53677.369313511401</v>
      </c>
      <c r="CC8" s="26">
        <v>53949.449313511403</v>
      </c>
      <c r="CD8" s="26">
        <v>53674.119313511401</v>
      </c>
      <c r="CE8" s="26">
        <v>53674.119313511401</v>
      </c>
      <c r="CF8" s="26">
        <v>53536.599313511404</v>
      </c>
      <c r="CG8" s="26">
        <v>53536.599313511404</v>
      </c>
      <c r="CH8" s="26">
        <v>53536.599313511404</v>
      </c>
      <c r="CI8" s="26">
        <v>52481.109313511399</v>
      </c>
      <c r="CJ8" s="26">
        <v>52481.109313511399</v>
      </c>
      <c r="CK8" s="26">
        <v>52481.109313511399</v>
      </c>
      <c r="CL8" s="26">
        <v>52481.109313511399</v>
      </c>
      <c r="CM8" s="26">
        <v>52481.109313511399</v>
      </c>
      <c r="CN8" s="26">
        <v>52481.109313511399</v>
      </c>
      <c r="CO8" s="26">
        <v>54028.789313511399</v>
      </c>
      <c r="CP8" s="26">
        <v>54028.789313511399</v>
      </c>
      <c r="CQ8" s="26">
        <v>54028.789313511399</v>
      </c>
      <c r="CR8" s="26">
        <v>54028.789313511399</v>
      </c>
      <c r="CS8" s="26">
        <v>54028.789313511399</v>
      </c>
      <c r="CT8" s="26">
        <v>54028.789313511399</v>
      </c>
      <c r="CU8" s="26">
        <v>54028.789313511399</v>
      </c>
      <c r="CV8" s="26">
        <v>54028.789313511399</v>
      </c>
      <c r="CW8" s="26">
        <v>54028.789313511399</v>
      </c>
      <c r="CX8" s="26">
        <v>54028.789313511399</v>
      </c>
      <c r="CY8" s="26">
        <v>54028.789313511399</v>
      </c>
      <c r="CZ8" s="26">
        <v>54028.789313511399</v>
      </c>
      <c r="DA8" s="26">
        <v>54028.789313511399</v>
      </c>
      <c r="DB8" s="26">
        <v>54028.789313511399</v>
      </c>
      <c r="DC8" s="26">
        <v>54028.789313511399</v>
      </c>
      <c r="DD8" s="26">
        <v>54028.789313511399</v>
      </c>
      <c r="DE8" s="26">
        <v>54028.789313511399</v>
      </c>
      <c r="DF8" s="26">
        <v>54028.789313511399</v>
      </c>
      <c r="DG8" s="26">
        <v>54028.789313511399</v>
      </c>
      <c r="DH8" s="26">
        <v>54028.789313511399</v>
      </c>
      <c r="DI8" s="26">
        <v>54028.789313511399</v>
      </c>
      <c r="DJ8" s="26">
        <v>54028.789313511399</v>
      </c>
      <c r="DK8" s="26">
        <v>54028.789313511399</v>
      </c>
      <c r="DL8" s="26">
        <v>54028.789313511399</v>
      </c>
      <c r="DM8" s="26">
        <v>54028.789313511399</v>
      </c>
      <c r="DN8" s="26">
        <v>54028.789313511399</v>
      </c>
      <c r="DO8" s="26">
        <v>54028.789313511399</v>
      </c>
      <c r="DP8" s="26">
        <v>54028.789313511399</v>
      </c>
      <c r="DQ8" s="26">
        <v>54028.789313511399</v>
      </c>
      <c r="DR8" s="26">
        <v>54028.789313511399</v>
      </c>
      <c r="DS8" s="26">
        <v>54028.789313511399</v>
      </c>
      <c r="DT8" s="26">
        <v>54028.789313511399</v>
      </c>
      <c r="DU8" s="26">
        <v>54028.789313511399</v>
      </c>
      <c r="DV8" s="26">
        <v>54028.789313511399</v>
      </c>
      <c r="DW8" s="26">
        <v>54028.789313511399</v>
      </c>
      <c r="DX8" s="26">
        <v>54028.789313511399</v>
      </c>
      <c r="DY8" s="26">
        <v>54028.789313511399</v>
      </c>
      <c r="DZ8" s="26">
        <v>54028.789313511399</v>
      </c>
      <c r="EA8" s="26">
        <v>54028.789313511399</v>
      </c>
      <c r="EB8" s="26">
        <v>54028.789313511399</v>
      </c>
      <c r="EC8" s="26">
        <v>54028.789313511399</v>
      </c>
      <c r="ED8" s="26">
        <v>54028.789313511399</v>
      </c>
    </row>
    <row r="9" spans="2:134" ht="21" customHeight="1" x14ac:dyDescent="0.2">
      <c r="B9" s="22" t="s">
        <v>68</v>
      </c>
      <c r="C9" s="29">
        <v>0.74315713692948415</v>
      </c>
      <c r="D9" s="30">
        <v>0.74315713692948415</v>
      </c>
      <c r="E9" s="30">
        <v>0.73899143516531585</v>
      </c>
      <c r="F9" s="30">
        <v>0.73899143516531585</v>
      </c>
      <c r="G9" s="30">
        <v>0.74126860277502316</v>
      </c>
      <c r="H9" s="30">
        <v>0.74126860277502316</v>
      </c>
      <c r="I9" s="30">
        <v>0.82154653424767388</v>
      </c>
      <c r="J9" s="30">
        <v>0.84736353124707231</v>
      </c>
      <c r="K9" s="30">
        <v>0.84736353124707231</v>
      </c>
      <c r="L9" s="30">
        <v>0.86770966904032076</v>
      </c>
      <c r="M9" s="30">
        <v>0.86064064077446345</v>
      </c>
      <c r="N9" s="30">
        <v>0.86872328733859105</v>
      </c>
      <c r="O9" s="30">
        <v>0.88395617734227883</v>
      </c>
      <c r="P9" s="30">
        <v>0.88333738718989163</v>
      </c>
      <c r="Q9" s="30">
        <v>0.88333738718989163</v>
      </c>
      <c r="R9" s="30">
        <v>0.88779892869760091</v>
      </c>
      <c r="S9" s="30">
        <v>0.88779892869760091</v>
      </c>
      <c r="T9" s="30">
        <v>0.88779892869760091</v>
      </c>
      <c r="U9" s="30">
        <v>0.89229934101146136</v>
      </c>
      <c r="V9" s="30">
        <v>0.89229934101146136</v>
      </c>
      <c r="W9" s="30">
        <v>0.89229934101146136</v>
      </c>
      <c r="X9" s="30">
        <v>0.89229934101146136</v>
      </c>
      <c r="Y9" s="30">
        <v>0.89229934101146136</v>
      </c>
      <c r="Z9" s="30">
        <v>0.89229934101146136</v>
      </c>
      <c r="AA9" s="30">
        <v>0.89229934101146136</v>
      </c>
      <c r="AB9" s="30">
        <v>0.89229934101146136</v>
      </c>
      <c r="AC9" s="30">
        <v>0.89229934101146136</v>
      </c>
      <c r="AD9" s="30">
        <v>0.89229934101146136</v>
      </c>
      <c r="AE9" s="30">
        <v>0.88722264832045128</v>
      </c>
      <c r="AF9" s="30">
        <v>0.88722264832045128</v>
      </c>
      <c r="AG9" s="30">
        <v>0.88722264832045128</v>
      </c>
      <c r="AH9" s="30">
        <v>0.88722264832045128</v>
      </c>
      <c r="AI9" s="30">
        <v>0.88722264832045128</v>
      </c>
      <c r="AJ9" s="30">
        <v>0.88722264832045128</v>
      </c>
      <c r="AK9" s="30">
        <v>0.88725572985760115</v>
      </c>
      <c r="AL9" s="30">
        <v>0.88725572985760115</v>
      </c>
      <c r="AM9" s="30">
        <v>0.88725572985760115</v>
      </c>
      <c r="AN9" s="30">
        <v>0.88725572985760115</v>
      </c>
      <c r="AO9" s="30">
        <v>0.88725572985760115</v>
      </c>
      <c r="AP9" s="30">
        <v>0.88725572985760115</v>
      </c>
      <c r="AQ9" s="30">
        <v>0.88497856224789373</v>
      </c>
      <c r="AR9" s="30">
        <v>0.88497856224789373</v>
      </c>
      <c r="AS9" s="30">
        <v>0.88272934853707807</v>
      </c>
      <c r="AT9" s="30">
        <v>0.88272934853707807</v>
      </c>
      <c r="AU9" s="30">
        <v>0.88272934853707807</v>
      </c>
      <c r="AV9" s="30">
        <v>0.88272934853707807</v>
      </c>
      <c r="AW9" s="30">
        <v>0.88272934853707807</v>
      </c>
      <c r="AX9" s="30">
        <v>0.88272934853707807</v>
      </c>
      <c r="AY9" s="30">
        <v>0.88975935435641074</v>
      </c>
      <c r="AZ9" s="30">
        <v>0.88975935435641074</v>
      </c>
      <c r="BA9" s="30">
        <v>0.88975935435641074</v>
      </c>
      <c r="BB9" s="30">
        <v>0.88975935435641074</v>
      </c>
      <c r="BC9" s="30">
        <v>0.88975935435641074</v>
      </c>
      <c r="BD9" s="30">
        <v>0.88975935435641074</v>
      </c>
      <c r="BE9" s="30">
        <v>0.88975935435641074</v>
      </c>
      <c r="BF9" s="30">
        <v>0.88975935435641074</v>
      </c>
      <c r="BG9" s="30">
        <v>0.83855823227121906</v>
      </c>
      <c r="BH9" s="30">
        <v>0.83855823227121906</v>
      </c>
      <c r="BI9" s="30">
        <v>0.83855823227121906</v>
      </c>
      <c r="BJ9" s="30">
        <v>0.83855823227121906</v>
      </c>
      <c r="BK9" s="30">
        <v>0.87510539464585357</v>
      </c>
      <c r="BL9" s="30">
        <v>0.87510539464585357</v>
      </c>
      <c r="BM9" s="30">
        <v>0.87510539464585357</v>
      </c>
      <c r="BN9" s="30">
        <v>0.87510539464585357</v>
      </c>
      <c r="BO9" s="30">
        <v>0.87510539464585357</v>
      </c>
      <c r="BP9" s="30">
        <v>0.87510539464585357</v>
      </c>
      <c r="BQ9" s="30">
        <v>0.87510539464585357</v>
      </c>
      <c r="BR9" s="30">
        <v>0.87510539464585357</v>
      </c>
      <c r="BS9" s="30">
        <v>0.87510539464585357</v>
      </c>
      <c r="BT9" s="30">
        <v>0.87510539464585357</v>
      </c>
      <c r="BU9" s="30">
        <v>0.87510539464585357</v>
      </c>
      <c r="BV9" s="30">
        <v>0.87510539464585357</v>
      </c>
      <c r="BW9" s="30">
        <v>0.88806359815512048</v>
      </c>
      <c r="BX9" s="30">
        <v>0.88806359815512048</v>
      </c>
      <c r="BY9" s="30">
        <v>0.88806359815512048</v>
      </c>
      <c r="BZ9" s="30">
        <v>0.8833107737128072</v>
      </c>
      <c r="CA9" s="30">
        <v>0.88786494352453593</v>
      </c>
      <c r="CB9" s="30">
        <v>0.88786494352453593</v>
      </c>
      <c r="CC9" s="30">
        <v>0.89236535583839638</v>
      </c>
      <c r="CD9" s="30">
        <v>0.88781118602666753</v>
      </c>
      <c r="CE9" s="30">
        <v>0.88781118602666753</v>
      </c>
      <c r="CF9" s="30">
        <v>0.88553649953224656</v>
      </c>
      <c r="CG9" s="30">
        <v>0.88553649953224656</v>
      </c>
      <c r="CH9" s="30">
        <v>0.88553649953224656</v>
      </c>
      <c r="CI9" s="30">
        <v>0.86807788370911931</v>
      </c>
      <c r="CJ9" s="30">
        <v>0.86807788370911931</v>
      </c>
      <c r="CK9" s="30">
        <v>0.86807788370911931</v>
      </c>
      <c r="CL9" s="30">
        <v>0.86807788370911931</v>
      </c>
      <c r="CM9" s="30">
        <v>0.86807788370911931</v>
      </c>
      <c r="CN9" s="30">
        <v>0.86807788370911931</v>
      </c>
      <c r="CO9" s="30">
        <v>0.89367770041712935</v>
      </c>
      <c r="CP9" s="30">
        <v>0.89367770041712935</v>
      </c>
      <c r="CQ9" s="30">
        <v>0.89367770041712935</v>
      </c>
      <c r="CR9" s="30">
        <v>0.89367770041712935</v>
      </c>
      <c r="CS9" s="30">
        <v>0.89367770041712935</v>
      </c>
      <c r="CT9" s="30">
        <v>0.89367770041712935</v>
      </c>
      <c r="CU9" s="30">
        <v>0.89367770041712935</v>
      </c>
      <c r="CV9" s="30">
        <v>0.89367770041712935</v>
      </c>
      <c r="CW9" s="30">
        <v>0.89367770041712935</v>
      </c>
      <c r="CX9" s="30">
        <v>0.89367770041712935</v>
      </c>
      <c r="CY9" s="30">
        <v>0.89367770041712935</v>
      </c>
      <c r="CZ9" s="30">
        <v>0.89367770041712935</v>
      </c>
      <c r="DA9" s="30">
        <v>0.89367770041712935</v>
      </c>
      <c r="DB9" s="30">
        <v>0.89367770041712935</v>
      </c>
      <c r="DC9" s="30">
        <v>0.89367770041712935</v>
      </c>
      <c r="DD9" s="30">
        <v>0.89367770041712935</v>
      </c>
      <c r="DE9" s="30">
        <v>0.89367770041712935</v>
      </c>
      <c r="DF9" s="30">
        <v>0.89367770041712935</v>
      </c>
      <c r="DG9" s="30">
        <v>0.89367770041712935</v>
      </c>
      <c r="DH9" s="30">
        <v>0.89367770041712935</v>
      </c>
      <c r="DI9" s="30">
        <v>0.89367770041712935</v>
      </c>
      <c r="DJ9" s="30">
        <v>0.89367770041712935</v>
      </c>
      <c r="DK9" s="30">
        <v>0.89367770041712935</v>
      </c>
      <c r="DL9" s="30">
        <v>0.89367770041712935</v>
      </c>
      <c r="DM9" s="30">
        <v>0.89367770041712935</v>
      </c>
      <c r="DN9" s="30">
        <v>0.89367770041712935</v>
      </c>
      <c r="DO9" s="30">
        <v>0.89367770041712935</v>
      </c>
      <c r="DP9" s="30">
        <v>0.89367770041712935</v>
      </c>
      <c r="DQ9" s="30">
        <v>0.89367770041712935</v>
      </c>
      <c r="DR9" s="30">
        <v>0.89367770041712935</v>
      </c>
      <c r="DS9" s="30">
        <v>0.89367770041712935</v>
      </c>
      <c r="DT9" s="30">
        <v>0.89367770041712935</v>
      </c>
      <c r="DU9" s="30">
        <v>0.89367770041712935</v>
      </c>
      <c r="DV9" s="30">
        <v>0.89367770041712935</v>
      </c>
      <c r="DW9" s="30">
        <v>0.89367770041712935</v>
      </c>
      <c r="DX9" s="30">
        <v>0.89367770041712935</v>
      </c>
      <c r="DY9" s="30">
        <v>0.89367770041712935</v>
      </c>
      <c r="DZ9" s="30">
        <v>0.89367770041712935</v>
      </c>
      <c r="EA9" s="30">
        <v>0.89367770041712935</v>
      </c>
      <c r="EB9" s="30">
        <v>0.89367770041712935</v>
      </c>
      <c r="EC9" s="30">
        <v>0.89367770041712935</v>
      </c>
      <c r="ED9" s="30">
        <v>0.89367770041712935</v>
      </c>
    </row>
    <row r="10" spans="2:134" ht="21" customHeight="1" x14ac:dyDescent="0.2">
      <c r="C10" s="73">
        <f>C5/(C8-C11-C12-C13)</f>
        <v>366387.65467218705</v>
      </c>
      <c r="D10" s="73">
        <f t="shared" ref="D10:N10" si="0">D5/(D8-D11-D12-D13)</f>
        <v>366387.65467218705</v>
      </c>
      <c r="E10" s="73">
        <f t="shared" si="0"/>
        <v>363876.19515973324</v>
      </c>
      <c r="F10" s="73">
        <f t="shared" si="0"/>
        <v>363876.19515973324</v>
      </c>
      <c r="G10" s="73">
        <f t="shared" si="0"/>
        <v>363959.65488813643</v>
      </c>
      <c r="H10" s="73">
        <f t="shared" si="0"/>
        <v>363959.65488813643</v>
      </c>
      <c r="I10" s="73">
        <f t="shared" si="0"/>
        <v>363885.16188822425</v>
      </c>
      <c r="J10" s="73">
        <f t="shared" si="0"/>
        <v>363369.62761312281</v>
      </c>
      <c r="K10" s="73">
        <f t="shared" si="0"/>
        <v>360806.85579111701</v>
      </c>
      <c r="L10" s="73">
        <f t="shared" si="0"/>
        <v>361757.05922690686</v>
      </c>
      <c r="M10" s="73">
        <f t="shared" si="0"/>
        <v>361232.07244017074</v>
      </c>
      <c r="N10" s="73">
        <f t="shared" si="0"/>
        <v>361244.2693078072</v>
      </c>
      <c r="O10" s="73">
        <f t="shared" ref="O10" si="1">O5/(O8-O11-O12-O13)</f>
        <v>360597.32916852966</v>
      </c>
      <c r="P10" s="73">
        <f t="shared" ref="P10" si="2">P5/(P8-P11-P12-P13)</f>
        <v>360489.06268212607</v>
      </c>
      <c r="Q10" s="73">
        <f t="shared" ref="Q10" si="3">Q5/(Q8-Q11-Q12-Q13)</f>
        <v>360489.06268212607</v>
      </c>
      <c r="R10" s="73">
        <f t="shared" ref="R10" si="4">R5/(R8-R11-R12-R13)</f>
        <v>361308.86764307576</v>
      </c>
      <c r="S10" s="73">
        <f t="shared" ref="S10" si="5">S5/(S8-S11-S12-S13)</f>
        <v>361006.77864334069</v>
      </c>
      <c r="T10" s="73">
        <f t="shared" ref="T10" si="6">T5/(T8-T11-T12-T13)</f>
        <v>361006.77864334069</v>
      </c>
      <c r="U10" s="73">
        <f t="shared" ref="U10" si="7">U5/(U8-U11-U12-U13)</f>
        <v>361040.60808075633</v>
      </c>
      <c r="V10" s="73">
        <f t="shared" ref="V10" si="8">V5/(V8-V11-V12-V13)</f>
        <v>361040.60808075633</v>
      </c>
      <c r="W10" s="73">
        <f t="shared" ref="W10" si="9">W5/(W8-W11-W12-W13)</f>
        <v>361040.60808075633</v>
      </c>
      <c r="X10" s="73">
        <f t="shared" ref="X10" si="10">X5/(X8-X11-X12-X13)</f>
        <v>361040.60808075633</v>
      </c>
      <c r="Y10" s="73">
        <f t="shared" ref="Y10" si="11">Y5/(Y8-Y11-Y12-Y13)</f>
        <v>361040.60808075633</v>
      </c>
      <c r="Z10" s="73">
        <f t="shared" ref="Z10" si="12">Z5/(Z8-Z11-Z12-Z13)</f>
        <v>361040.60808075633</v>
      </c>
      <c r="AA10" s="73">
        <f t="shared" ref="AA10" si="13">AA5/(AA8-AA11-AA12-AA13)</f>
        <v>361040.60808075633</v>
      </c>
      <c r="AB10" s="73">
        <f t="shared" ref="AB10" si="14">AB5/(AB8-AB11-AB12-AB13)</f>
        <v>361040.60808075633</v>
      </c>
      <c r="AC10" s="73">
        <f t="shared" ref="AC10" si="15">AC5/(AC8-AC11-AC12-AC13)</f>
        <v>361040.60808075633</v>
      </c>
      <c r="AD10" s="73">
        <f t="shared" ref="AD10" si="16">AD5/(AD8-AD11-AD12-AD13)</f>
        <v>361040.60808075633</v>
      </c>
      <c r="AE10" s="73">
        <f t="shared" ref="AE10" si="17">AE5/(AE8-AE11-AE12-AE13)</f>
        <v>360910.78755314637</v>
      </c>
      <c r="AF10" s="73">
        <f t="shared" ref="AF10" si="18">AF5/(AF8-AF11-AF12-AF13)</f>
        <v>360910.78755314637</v>
      </c>
      <c r="AG10" s="73">
        <f t="shared" ref="AG10" si="19">AG5/(AG8-AG11-AG12-AG13)</f>
        <v>360910.78755314637</v>
      </c>
      <c r="AH10" s="73">
        <f t="shared" ref="AH10" si="20">AH5/(AH8-AH11-AH12-AH13)</f>
        <v>360910.78755314637</v>
      </c>
      <c r="AI10" s="73">
        <f t="shared" ref="AI10" si="21">AI5/(AI8-AI11-AI12-AI13)</f>
        <v>360910.78755314637</v>
      </c>
      <c r="AJ10" s="73">
        <f t="shared" ref="AJ10" si="22">AJ5/(AJ8-AJ11-AJ12-AJ13)</f>
        <v>360910.78755314637</v>
      </c>
      <c r="AK10" s="73">
        <f t="shared" ref="AK10" si="23">AK5/(AK8-AK11-AK12-AK13)</f>
        <v>361315.13603813486</v>
      </c>
      <c r="AL10" s="73">
        <f t="shared" ref="AL10" si="24">AL5/(AL8-AL11-AL12-AL13)</f>
        <v>361315.13603813486</v>
      </c>
      <c r="AM10" s="73">
        <f t="shared" ref="AM10" si="25">AM5/(AM8-AM11-AM12-AM13)</f>
        <v>361315.13603813486</v>
      </c>
      <c r="AN10" s="73">
        <f t="shared" ref="AN10" si="26">AN5/(AN8-AN11-AN12-AN13)</f>
        <v>361315.13603813486</v>
      </c>
      <c r="AO10" s="73">
        <f t="shared" ref="AO10" si="27">AO5/(AO8-AO11-AO12-AO13)</f>
        <v>361315.13603813486</v>
      </c>
      <c r="AP10" s="73">
        <f t="shared" ref="AP10" si="28">AP5/(AP8-AP11-AP12-AP13)</f>
        <v>361315.13603813486</v>
      </c>
      <c r="AQ10" s="73">
        <f t="shared" ref="AQ10" si="29">AQ5/(AQ8-AQ11-AQ12-AQ13)</f>
        <v>361238.87084314803</v>
      </c>
      <c r="AR10" s="73">
        <f t="shared" ref="AR10" si="30">AR5/(AR8-AR11-AR12-AR13)</f>
        <v>361238.87084314803</v>
      </c>
      <c r="AS10" s="73">
        <f t="shared" ref="AS10" si="31">AS5/(AS8-AS11-AS12-AS13)</f>
        <v>361181.57373051438</v>
      </c>
      <c r="AT10" s="73">
        <f t="shared" ref="AT10" si="32">AT5/(AT8-AT11-AT12-AT13)</f>
        <v>361181.57373051438</v>
      </c>
      <c r="AU10" s="73">
        <f t="shared" ref="AU10" si="33">AU5/(AU8-AU11-AU12-AU13)</f>
        <v>361181.57373051438</v>
      </c>
      <c r="AV10" s="73">
        <f t="shared" ref="AV10" si="34">AV5/(AV8-AV11-AV12-AV13)</f>
        <v>361181.57373051438</v>
      </c>
      <c r="AW10" s="73">
        <f t="shared" ref="AW10" si="35">AW5/(AW8-AW11-AW12-AW13)</f>
        <v>361181.57373051438</v>
      </c>
      <c r="AX10" s="73">
        <f t="shared" ref="AX10" si="36">AX5/(AX8-AX11-AX12-AX13)</f>
        <v>361181.57373051438</v>
      </c>
      <c r="AY10" s="73">
        <f t="shared" ref="AY10" si="37">AY5/(AY8-AY11-AY12-AY13)</f>
        <v>361524.864343761</v>
      </c>
      <c r="AZ10" s="73">
        <f t="shared" ref="AZ10" si="38">AZ5/(AZ8-AZ11-AZ12-AZ13)</f>
        <v>361524.864343761</v>
      </c>
      <c r="BA10" s="73">
        <f t="shared" ref="BA10" si="39">BA5/(BA8-BA11-BA12-BA13)</f>
        <v>361524.864343761</v>
      </c>
      <c r="BB10" s="73">
        <f t="shared" ref="BB10" si="40">BB5/(BB8-BB11-BB12-BB13)</f>
        <v>361524.864343761</v>
      </c>
      <c r="BC10" s="73">
        <f t="shared" ref="BC10" si="41">BC5/(BC8-BC11-BC12-BC13)</f>
        <v>361442.90431856626</v>
      </c>
      <c r="BD10" s="73">
        <f t="shared" ref="BD10" si="42">BD5/(BD8-BD11-BD12-BD13)</f>
        <v>361442.90431856626</v>
      </c>
      <c r="BE10" s="73">
        <f t="shared" ref="BE10" si="43">BE5/(BE8-BE11-BE12-BE13)</f>
        <v>361442.90431856626</v>
      </c>
      <c r="BF10" s="73">
        <f t="shared" ref="BF10" si="44">BF5/(BF8-BF11-BF12-BF13)</f>
        <v>361442.90431856626</v>
      </c>
      <c r="BG10" s="73">
        <f t="shared" ref="BG10" si="45">BG5/(BG8-BG11-BG12-BG13)</f>
        <v>360111.95654230053</v>
      </c>
      <c r="BH10" s="73">
        <f t="shared" ref="BH10" si="46">BH5/(BH8-BH11-BH12-BH13)</f>
        <v>360111.95654230053</v>
      </c>
      <c r="BI10" s="73">
        <f t="shared" ref="BI10" si="47">BI5/(BI8-BI11-BI12-BI13)</f>
        <v>360111.95654230053</v>
      </c>
      <c r="BJ10" s="73">
        <f t="shared" ref="BJ10" si="48">BJ5/(BJ8-BJ11-BJ12-BJ13)</f>
        <v>360111.95654230053</v>
      </c>
      <c r="BK10" s="73">
        <f t="shared" ref="BK10" si="49">BK5/(BK8-BK11-BK12-BK13)</f>
        <v>360927.47349999659</v>
      </c>
      <c r="BL10" s="73">
        <f t="shared" ref="BL10" si="50">BL5/(BL8-BL11-BL12-BL13)</f>
        <v>360927.47349999659</v>
      </c>
      <c r="BM10" s="73">
        <f t="shared" ref="BM10" si="51">BM5/(BM8-BM11-BM12-BM13)</f>
        <v>360927.47349999659</v>
      </c>
      <c r="BN10" s="73">
        <f t="shared" ref="BN10" si="52">BN5/(BN8-BN11-BN12-BN13)</f>
        <v>360927.47349999659</v>
      </c>
      <c r="BO10" s="73">
        <f t="shared" ref="BO10" si="53">BO5/(BO8-BO11-BO12-BO13)</f>
        <v>360927.47349999659</v>
      </c>
      <c r="BP10" s="73">
        <f t="shared" ref="BP10" si="54">BP5/(BP8-BP11-BP12-BP13)</f>
        <v>360927.47349999659</v>
      </c>
      <c r="BQ10" s="73">
        <f t="shared" ref="BQ10" si="55">BQ5/(BQ8-BQ11-BQ12-BQ13)</f>
        <v>360927.47349999659</v>
      </c>
      <c r="BR10" s="73">
        <f t="shared" ref="BR10" si="56">BR5/(BR8-BR11-BR12-BR13)</f>
        <v>360927.47349999659</v>
      </c>
      <c r="BS10" s="73">
        <f t="shared" ref="BS10" si="57">BS5/(BS8-BS11-BS12-BS13)</f>
        <v>360927.47349999659</v>
      </c>
      <c r="BT10" s="73">
        <f t="shared" ref="BT10" si="58">BT5/(BT8-BT11-BT12-BT13)</f>
        <v>360927.47349999659</v>
      </c>
      <c r="BU10" s="73">
        <f t="shared" ref="BU10" si="59">BU5/(BU8-BU11-BU12-BU13)</f>
        <v>360927.47349999659</v>
      </c>
      <c r="BV10" s="73">
        <f t="shared" ref="BV10" si="60">BV5/(BV8-BV11-BV12-BV13)</f>
        <v>360927.47349999659</v>
      </c>
      <c r="BW10" s="73">
        <f t="shared" ref="BW10" si="61">BW5/(BW8-BW11-BW12-BW13)</f>
        <v>362023.14264620456</v>
      </c>
      <c r="BX10" s="73">
        <f t="shared" ref="BX10" si="62">BX5/(BX8-BX11-BX12-BX13)</f>
        <v>362023.14264620456</v>
      </c>
      <c r="BY10" s="73">
        <f t="shared" ref="BY10" si="63">BY5/(BY8-BY11-BY12-BY13)</f>
        <v>362023.14264620456</v>
      </c>
      <c r="BZ10" s="73">
        <f t="shared" ref="BZ10" si="64">BZ5/(BZ8-BZ11-BZ12-BZ13)</f>
        <v>361811.9903109413</v>
      </c>
      <c r="CA10" s="73">
        <f t="shared" ref="CA10" si="65">CA5/(CA8-CA11-CA12-CA13)</f>
        <v>361961.36984655878</v>
      </c>
      <c r="CB10" s="73">
        <f t="shared" ref="CB10" si="66">CB5/(CB8-CB11-CB12-CB13)</f>
        <v>361961.36984655878</v>
      </c>
      <c r="CC10" s="73">
        <f t="shared" ref="CC10" si="67">CC5/(CC8-CC11-CC12-CC13)</f>
        <v>375661.30935295898</v>
      </c>
      <c r="CD10" s="73">
        <f t="shared" ref="CD10" si="68">CD5/(CD8-CD11-CD12-CD13)</f>
        <v>376125.53050963033</v>
      </c>
      <c r="CE10" s="73">
        <f t="shared" ref="CE10" si="69">CE5/(CE8-CE11-CE12-CE13)</f>
        <v>376125.53050963033</v>
      </c>
      <c r="CF10" s="73">
        <f t="shared" ref="CF10" si="70">CF5/(CF8-CF11-CF12-CF13)</f>
        <v>377123.80537615792</v>
      </c>
      <c r="CG10" s="73">
        <f t="shared" ref="CG10" si="71">CG5/(CG8-CG11-CG12-CG13)</f>
        <v>377123.80537615792</v>
      </c>
      <c r="CH10" s="73">
        <f t="shared" ref="CH10" si="72">CH5/(CH8-CH11-CH12-CH13)</f>
        <v>377123.80537615792</v>
      </c>
      <c r="CI10" s="73">
        <f t="shared" ref="CI10" si="73">CI5/(CI8-CI11-CI12-CI13)</f>
        <v>377401.09549731237</v>
      </c>
      <c r="CJ10" s="73">
        <f t="shared" ref="CJ10" si="74">CJ5/(CJ8-CJ11-CJ12-CJ13)</f>
        <v>377401.09549731237</v>
      </c>
      <c r="CK10" s="73">
        <f t="shared" ref="CK10" si="75">CK5/(CK8-CK11-CK12-CK13)</f>
        <v>377401.09549731237</v>
      </c>
      <c r="CL10" s="73">
        <f t="shared" ref="CL10" si="76">CL5/(CL8-CL11-CL12-CL13)</f>
        <v>377401.09549731237</v>
      </c>
      <c r="CM10" s="73">
        <f t="shared" ref="CM10" si="77">CM5/(CM8-CM11-CM12-CM13)</f>
        <v>377401.09549731237</v>
      </c>
      <c r="CN10" s="73">
        <f t="shared" ref="CN10" si="78">CN5/(CN8-CN11-CN12-CN13)</f>
        <v>377401.09549731237</v>
      </c>
      <c r="CO10" s="73">
        <f t="shared" ref="CO10" si="79">CO5/(CO8-CO11-CO12-CO13)</f>
        <v>377773.88138370618</v>
      </c>
      <c r="CP10" s="73">
        <f t="shared" ref="CP10" si="80">CP5/(CP8-CP11-CP12-CP13)</f>
        <v>377773.88138370618</v>
      </c>
      <c r="CQ10" s="73">
        <f t="shared" ref="CQ10" si="81">CQ5/(CQ8-CQ11-CQ12-CQ13)</f>
        <v>377773.88138370618</v>
      </c>
      <c r="CR10" s="73">
        <f t="shared" ref="CR10" si="82">CR5/(CR8-CR11-CR12-CR13)</f>
        <v>377773.88138370618</v>
      </c>
      <c r="CS10" s="73">
        <f t="shared" ref="CS10" si="83">CS5/(CS8-CS11-CS12-CS13)</f>
        <v>377773.88138370618</v>
      </c>
      <c r="CT10" s="73">
        <f t="shared" ref="CT10" si="84">CT5/(CT8-CT11-CT12-CT13)</f>
        <v>377773.88138370618</v>
      </c>
      <c r="CU10" s="73">
        <f t="shared" ref="CU10" si="85">CU5/(CU8-CU11-CU12-CU13)</f>
        <v>377773.88138370618</v>
      </c>
      <c r="CV10" s="73">
        <f t="shared" ref="CV10" si="86">CV5/(CV8-CV11-CV12-CV13)</f>
        <v>377773.88138370618</v>
      </c>
      <c r="CW10" s="73">
        <f t="shared" ref="CW10" si="87">CW5/(CW8-CW11-CW12-CW13)</f>
        <v>377773.88138370618</v>
      </c>
      <c r="CX10" s="73">
        <f t="shared" ref="CX10" si="88">CX5/(CX8-CX11-CX12-CX13)</f>
        <v>377773.88138370618</v>
      </c>
      <c r="CY10" s="73">
        <f t="shared" ref="CY10" si="89">CY5/(CY8-CY11-CY12-CY13)</f>
        <v>377773.88138370618</v>
      </c>
      <c r="CZ10" s="73">
        <f t="shared" ref="CZ10" si="90">CZ5/(CZ8-CZ11-CZ12-CZ13)</f>
        <v>377773.88138370618</v>
      </c>
      <c r="DA10" s="73">
        <f t="shared" ref="DA10" si="91">DA5/(DA8-DA11-DA12-DA13)</f>
        <v>377773.88138370618</v>
      </c>
      <c r="DB10" s="73">
        <f t="shared" ref="DB10" si="92">DB5/(DB8-DB11-DB12-DB13)</f>
        <v>377773.88138370618</v>
      </c>
      <c r="DC10" s="73">
        <f t="shared" ref="DC10" si="93">DC5/(DC8-DC11-DC12-DC13)</f>
        <v>377773.88138370618</v>
      </c>
      <c r="DD10" s="73">
        <f t="shared" ref="DD10" si="94">DD5/(DD8-DD11-DD12-DD13)</f>
        <v>377773.88138370618</v>
      </c>
      <c r="DE10" s="73">
        <f t="shared" ref="DE10" si="95">DE5/(DE8-DE11-DE12-DE13)</f>
        <v>377773.88138370618</v>
      </c>
      <c r="DF10" s="73">
        <f t="shared" ref="DF10" si="96">DF5/(DF8-DF11-DF12-DF13)</f>
        <v>377773.88138370618</v>
      </c>
      <c r="DG10" s="73">
        <f t="shared" ref="DG10" si="97">DG5/(DG8-DG11-DG12-DG13)</f>
        <v>377773.88138370618</v>
      </c>
      <c r="DH10" s="73">
        <f t="shared" ref="DH10" si="98">DH5/(DH8-DH11-DH12-DH13)</f>
        <v>377773.88138370618</v>
      </c>
      <c r="DI10" s="73">
        <f t="shared" ref="DI10" si="99">DI5/(DI8-DI11-DI12-DI13)</f>
        <v>377773.88138370618</v>
      </c>
      <c r="DJ10" s="73">
        <f t="shared" ref="DJ10" si="100">DJ5/(DJ8-DJ11-DJ12-DJ13)</f>
        <v>377773.88138370618</v>
      </c>
      <c r="DK10" s="73">
        <f t="shared" ref="DK10" si="101">DK5/(DK8-DK11-DK12-DK13)</f>
        <v>377773.88138370618</v>
      </c>
      <c r="DL10" s="73">
        <f t="shared" ref="DL10" si="102">DL5/(DL8-DL11-DL12-DL13)</f>
        <v>377773.88138370618</v>
      </c>
      <c r="DM10" s="73">
        <f t="shared" ref="DM10" si="103">DM5/(DM8-DM11-DM12-DM13)</f>
        <v>377773.88138370618</v>
      </c>
      <c r="DN10" s="73">
        <f t="shared" ref="DN10" si="104">DN5/(DN8-DN11-DN12-DN13)</f>
        <v>377773.88138370618</v>
      </c>
      <c r="DO10" s="73">
        <f t="shared" ref="DO10" si="105">DO5/(DO8-DO11-DO12-DO13)</f>
        <v>377773.88138370618</v>
      </c>
      <c r="DP10" s="73">
        <f t="shared" ref="DP10" si="106">DP5/(DP8-DP11-DP12-DP13)</f>
        <v>377773.88138370618</v>
      </c>
      <c r="DQ10" s="73">
        <f t="shared" ref="DQ10" si="107">DQ5/(DQ8-DQ11-DQ12-DQ13)</f>
        <v>377773.88138370618</v>
      </c>
      <c r="DR10" s="73">
        <f t="shared" ref="DR10" si="108">DR5/(DR8-DR11-DR12-DR13)</f>
        <v>377773.88138370618</v>
      </c>
      <c r="DS10" s="73">
        <f t="shared" ref="DS10" si="109">DS5/(DS8-DS11-DS12-DS13)</f>
        <v>377773.88138370618</v>
      </c>
      <c r="DT10" s="73">
        <f t="shared" ref="DT10" si="110">DT5/(DT8-DT11-DT12-DT13)</f>
        <v>377773.88138370618</v>
      </c>
      <c r="DU10" s="73">
        <f t="shared" ref="DU10" si="111">DU5/(DU8-DU11-DU12-DU13)</f>
        <v>377773.88138370618</v>
      </c>
      <c r="DV10" s="73">
        <f t="shared" ref="DV10" si="112">DV5/(DV8-DV11-DV12-DV13)</f>
        <v>377773.88138370618</v>
      </c>
      <c r="DW10" s="73">
        <f t="shared" ref="DW10" si="113">DW5/(DW8-DW11-DW12-DW13)</f>
        <v>377773.88138370618</v>
      </c>
      <c r="DX10" s="73">
        <f t="shared" ref="DX10" si="114">DX5/(DX8-DX11-DX12-DX13)</f>
        <v>377773.88138370618</v>
      </c>
      <c r="DY10" s="73">
        <f t="shared" ref="DY10" si="115">DY5/(DY8-DY11-DY12-DY13)</f>
        <v>377773.88138370618</v>
      </c>
      <c r="DZ10" s="73">
        <f t="shared" ref="DZ10" si="116">DZ5/(DZ8-DZ11-DZ12-DZ13)</f>
        <v>377773.88138370618</v>
      </c>
      <c r="EA10" s="73">
        <f t="shared" ref="EA10" si="117">EA5/(EA8-EA11-EA12-EA13)</f>
        <v>377773.88138370618</v>
      </c>
      <c r="EB10" s="73">
        <f t="shared" ref="EB10" si="118">EB5/(EB8-EB11-EB12-EB13)</f>
        <v>377773.88138370618</v>
      </c>
      <c r="EC10" s="73">
        <f t="shared" ref="EC10" si="119">EC5/(EC8-EC11-EC12-EC13)</f>
        <v>377773.88138370618</v>
      </c>
      <c r="ED10" s="73">
        <f t="shared" ref="ED10" si="120">ED5/(ED8-ED11-ED12-ED13)</f>
        <v>377773.88138370618</v>
      </c>
    </row>
    <row r="11" spans="2:134" ht="21" customHeight="1" x14ac:dyDescent="0.2">
      <c r="C11" s="164">
        <v>264.35000000000002</v>
      </c>
      <c r="D11" s="164">
        <v>264.35000000000002</v>
      </c>
      <c r="E11" s="164">
        <v>264.35000000000002</v>
      </c>
      <c r="F11" s="164">
        <v>264.35000000000002</v>
      </c>
      <c r="G11" s="164">
        <v>264.35000000000002</v>
      </c>
      <c r="H11" s="164">
        <v>264.35000000000002</v>
      </c>
      <c r="I11" s="164">
        <v>264.35000000000002</v>
      </c>
      <c r="J11" s="164">
        <v>264.35000000000002</v>
      </c>
      <c r="K11" s="164">
        <v>264.35000000000002</v>
      </c>
      <c r="L11" s="164">
        <v>264.35000000000002</v>
      </c>
      <c r="M11" s="164">
        <v>264.35000000000002</v>
      </c>
      <c r="N11" s="164">
        <v>264.35000000000002</v>
      </c>
      <c r="O11" s="164">
        <v>264.35000000000002</v>
      </c>
      <c r="P11" s="164">
        <v>264.35000000000002</v>
      </c>
      <c r="Q11" s="164">
        <v>264.35000000000002</v>
      </c>
      <c r="R11" s="164">
        <v>264.35000000000002</v>
      </c>
      <c r="S11" s="164">
        <v>264.35000000000002</v>
      </c>
      <c r="T11" s="164">
        <v>264.35000000000002</v>
      </c>
      <c r="U11" s="164">
        <v>264.35000000000002</v>
      </c>
      <c r="V11" s="164">
        <v>264.35000000000002</v>
      </c>
      <c r="W11" s="164">
        <v>264.35000000000002</v>
      </c>
      <c r="X11" s="164">
        <v>264.35000000000002</v>
      </c>
      <c r="Y11" s="164">
        <v>264.35000000000002</v>
      </c>
      <c r="Z11" s="164">
        <v>264.35000000000002</v>
      </c>
      <c r="AA11" s="164">
        <v>264.35000000000002</v>
      </c>
      <c r="AB11" s="164">
        <v>264.35000000000002</v>
      </c>
      <c r="AC11" s="164">
        <v>264.35000000000002</v>
      </c>
      <c r="AD11" s="164">
        <v>264.35000000000002</v>
      </c>
      <c r="AE11" s="164">
        <v>264.35000000000002</v>
      </c>
      <c r="AF11" s="164">
        <v>264.35000000000002</v>
      </c>
      <c r="AG11" s="164">
        <v>264.35000000000002</v>
      </c>
      <c r="AH11" s="164">
        <v>264.35000000000002</v>
      </c>
      <c r="AI11" s="164">
        <v>264.35000000000002</v>
      </c>
      <c r="AJ11" s="164">
        <v>264.35000000000002</v>
      </c>
      <c r="AK11" s="164">
        <v>264.35000000000002</v>
      </c>
      <c r="AL11" s="164">
        <v>264.35000000000002</v>
      </c>
      <c r="AM11" s="164">
        <v>264.35000000000002</v>
      </c>
      <c r="AN11" s="164">
        <v>264.35000000000002</v>
      </c>
      <c r="AO11" s="164">
        <v>264.35000000000002</v>
      </c>
      <c r="AP11" s="164">
        <v>264.35000000000002</v>
      </c>
      <c r="AQ11" s="164">
        <v>264.35000000000002</v>
      </c>
      <c r="AR11" s="164">
        <v>264.35000000000002</v>
      </c>
      <c r="AS11" s="164">
        <v>264.35000000000002</v>
      </c>
      <c r="AT11" s="164">
        <v>264.35000000000002</v>
      </c>
      <c r="AU11" s="164">
        <v>264.35000000000002</v>
      </c>
      <c r="AV11" s="164">
        <v>264.35000000000002</v>
      </c>
      <c r="AW11" s="164">
        <v>264.35000000000002</v>
      </c>
      <c r="AX11" s="164">
        <v>264.35000000000002</v>
      </c>
      <c r="AY11" s="164">
        <v>264.35000000000002</v>
      </c>
      <c r="AZ11" s="164">
        <v>264.35000000000002</v>
      </c>
      <c r="BA11" s="164">
        <v>264.35000000000002</v>
      </c>
      <c r="BB11" s="164">
        <v>264.35000000000002</v>
      </c>
      <c r="BC11" s="164">
        <v>264.35000000000002</v>
      </c>
      <c r="BD11" s="164">
        <v>264.35000000000002</v>
      </c>
      <c r="BE11" s="164">
        <v>264.35000000000002</v>
      </c>
      <c r="BF11" s="164">
        <v>264.35000000000002</v>
      </c>
      <c r="BG11" s="164">
        <v>264.35000000000002</v>
      </c>
      <c r="BH11" s="164">
        <v>264.35000000000002</v>
      </c>
      <c r="BI11" s="164">
        <v>264.35000000000002</v>
      </c>
      <c r="BJ11" s="164">
        <v>264.35000000000002</v>
      </c>
      <c r="BK11" s="164">
        <v>264.35000000000002</v>
      </c>
      <c r="BL11" s="164">
        <v>264.35000000000002</v>
      </c>
      <c r="BM11" s="164">
        <v>264.35000000000002</v>
      </c>
      <c r="BN11" s="164">
        <v>264.35000000000002</v>
      </c>
      <c r="BO11" s="164">
        <v>264.35000000000002</v>
      </c>
      <c r="BP11" s="164">
        <v>264.35000000000002</v>
      </c>
      <c r="BQ11" s="164">
        <v>264.35000000000002</v>
      </c>
      <c r="BR11" s="164">
        <v>264.35000000000002</v>
      </c>
      <c r="BS11" s="164">
        <v>264.35000000000002</v>
      </c>
      <c r="BT11" s="164">
        <v>264.35000000000002</v>
      </c>
      <c r="BU11" s="164">
        <v>264.35000000000002</v>
      </c>
      <c r="BV11" s="164">
        <v>264.35000000000002</v>
      </c>
      <c r="BW11" s="164">
        <v>264.35000000000002</v>
      </c>
      <c r="BX11" s="164">
        <v>264.35000000000002</v>
      </c>
      <c r="BY11" s="164">
        <v>264.35000000000002</v>
      </c>
      <c r="BZ11" s="164">
        <v>264.35000000000002</v>
      </c>
      <c r="CA11" s="164">
        <v>264.35000000000002</v>
      </c>
      <c r="CB11" s="164">
        <v>264.35000000000002</v>
      </c>
      <c r="CC11" s="164">
        <v>264.35000000000002</v>
      </c>
      <c r="CD11" s="164">
        <v>264.35000000000002</v>
      </c>
      <c r="CE11" s="164">
        <v>264.35000000000002</v>
      </c>
      <c r="CF11" s="164">
        <v>264.35000000000002</v>
      </c>
      <c r="CG11" s="164">
        <v>264.35000000000002</v>
      </c>
      <c r="CH11" s="164">
        <v>264.35000000000002</v>
      </c>
      <c r="CI11" s="164">
        <v>264.35000000000002</v>
      </c>
      <c r="CJ11" s="164">
        <v>264.35000000000002</v>
      </c>
      <c r="CK11" s="164">
        <v>264.35000000000002</v>
      </c>
      <c r="CL11" s="164">
        <v>264.35000000000002</v>
      </c>
      <c r="CM11" s="164">
        <v>264.35000000000002</v>
      </c>
      <c r="CN11" s="164">
        <v>264.35000000000002</v>
      </c>
      <c r="CO11" s="164">
        <v>264.35000000000002</v>
      </c>
      <c r="CP11" s="164">
        <v>264.35000000000002</v>
      </c>
      <c r="CQ11" s="164">
        <v>264.35000000000002</v>
      </c>
      <c r="CR11" s="164">
        <v>264.35000000000002</v>
      </c>
      <c r="CS11" s="164">
        <v>264.35000000000002</v>
      </c>
      <c r="CT11" s="164">
        <v>264.35000000000002</v>
      </c>
      <c r="CU11" s="164">
        <v>264.35000000000002</v>
      </c>
      <c r="CV11" s="164">
        <v>264.35000000000002</v>
      </c>
      <c r="CW11" s="164">
        <v>264.35000000000002</v>
      </c>
      <c r="CX11" s="164">
        <v>264.35000000000002</v>
      </c>
      <c r="CY11" s="164">
        <v>264.35000000000002</v>
      </c>
      <c r="CZ11" s="164">
        <v>264.35000000000002</v>
      </c>
      <c r="DA11" s="164">
        <v>264.35000000000002</v>
      </c>
      <c r="DB11" s="164">
        <v>264.35000000000002</v>
      </c>
      <c r="DC11" s="164">
        <v>264.35000000000002</v>
      </c>
      <c r="DD11" s="164">
        <v>264.35000000000002</v>
      </c>
      <c r="DE11" s="164">
        <v>264.35000000000002</v>
      </c>
      <c r="DF11" s="164">
        <v>264.35000000000002</v>
      </c>
      <c r="DG11" s="164">
        <v>264.35000000000002</v>
      </c>
      <c r="DH11" s="164">
        <v>264.35000000000002</v>
      </c>
      <c r="DI11" s="164">
        <v>264.35000000000002</v>
      </c>
      <c r="DJ11" s="164">
        <v>264.35000000000002</v>
      </c>
      <c r="DK11" s="164">
        <v>264.35000000000002</v>
      </c>
      <c r="DL11" s="164">
        <v>264.35000000000002</v>
      </c>
      <c r="DM11" s="164">
        <v>264.35000000000002</v>
      </c>
      <c r="DN11" s="164">
        <v>264.35000000000002</v>
      </c>
      <c r="DO11" s="164">
        <v>264.35000000000002</v>
      </c>
      <c r="DP11" s="164">
        <v>264.35000000000002</v>
      </c>
      <c r="DQ11" s="164">
        <v>264.35000000000002</v>
      </c>
      <c r="DR11" s="164">
        <v>264.35000000000002</v>
      </c>
      <c r="DS11" s="164">
        <v>264.35000000000002</v>
      </c>
      <c r="DT11" s="164">
        <v>264.35000000000002</v>
      </c>
      <c r="DU11" s="164">
        <v>264.35000000000002</v>
      </c>
      <c r="DV11" s="164">
        <v>264.35000000000002</v>
      </c>
      <c r="DW11" s="164">
        <v>264.35000000000002</v>
      </c>
      <c r="DX11" s="164">
        <v>264.35000000000002</v>
      </c>
      <c r="DY11" s="164">
        <v>264.35000000000002</v>
      </c>
      <c r="DZ11" s="164">
        <v>264.35000000000002</v>
      </c>
      <c r="EA11" s="164">
        <v>264.35000000000002</v>
      </c>
      <c r="EB11" s="164">
        <v>264.35000000000002</v>
      </c>
      <c r="EC11" s="164">
        <v>264.35000000000002</v>
      </c>
      <c r="ED11" s="164">
        <v>264.35000000000002</v>
      </c>
    </row>
    <row r="12" spans="2:134" s="6" customFormat="1" ht="21" customHeight="1" x14ac:dyDescent="0.2">
      <c r="B12" s="22"/>
      <c r="C12" s="164">
        <f>137.31+137.31</f>
        <v>274.62</v>
      </c>
      <c r="D12" s="164">
        <f t="shared" ref="D12:BO12" si="121">137.31+137.31</f>
        <v>274.62</v>
      </c>
      <c r="E12" s="164">
        <f t="shared" si="121"/>
        <v>274.62</v>
      </c>
      <c r="F12" s="164">
        <f t="shared" si="121"/>
        <v>274.62</v>
      </c>
      <c r="G12" s="164">
        <f t="shared" si="121"/>
        <v>274.62</v>
      </c>
      <c r="H12" s="164">
        <f t="shared" si="121"/>
        <v>274.62</v>
      </c>
      <c r="I12" s="164">
        <f t="shared" si="121"/>
        <v>274.62</v>
      </c>
      <c r="J12" s="164">
        <f t="shared" si="121"/>
        <v>274.62</v>
      </c>
      <c r="K12" s="164">
        <f t="shared" si="121"/>
        <v>274.62</v>
      </c>
      <c r="L12" s="164">
        <f t="shared" si="121"/>
        <v>274.62</v>
      </c>
      <c r="M12" s="164">
        <f t="shared" si="121"/>
        <v>274.62</v>
      </c>
      <c r="N12" s="164">
        <f t="shared" si="121"/>
        <v>274.62</v>
      </c>
      <c r="O12" s="164">
        <f t="shared" si="121"/>
        <v>274.62</v>
      </c>
      <c r="P12" s="164">
        <f t="shared" si="121"/>
        <v>274.62</v>
      </c>
      <c r="Q12" s="164">
        <f t="shared" si="121"/>
        <v>274.62</v>
      </c>
      <c r="R12" s="164">
        <f t="shared" si="121"/>
        <v>274.62</v>
      </c>
      <c r="S12" s="164">
        <f t="shared" si="121"/>
        <v>274.62</v>
      </c>
      <c r="T12" s="164">
        <f t="shared" si="121"/>
        <v>274.62</v>
      </c>
      <c r="U12" s="164">
        <f t="shared" si="121"/>
        <v>274.62</v>
      </c>
      <c r="V12" s="164">
        <f t="shared" si="121"/>
        <v>274.62</v>
      </c>
      <c r="W12" s="164">
        <f t="shared" si="121"/>
        <v>274.62</v>
      </c>
      <c r="X12" s="164">
        <f t="shared" si="121"/>
        <v>274.62</v>
      </c>
      <c r="Y12" s="164">
        <f t="shared" si="121"/>
        <v>274.62</v>
      </c>
      <c r="Z12" s="164">
        <f t="shared" si="121"/>
        <v>274.62</v>
      </c>
      <c r="AA12" s="164">
        <f t="shared" si="121"/>
        <v>274.62</v>
      </c>
      <c r="AB12" s="164">
        <f t="shared" si="121"/>
        <v>274.62</v>
      </c>
      <c r="AC12" s="164">
        <f t="shared" si="121"/>
        <v>274.62</v>
      </c>
      <c r="AD12" s="164">
        <f t="shared" si="121"/>
        <v>274.62</v>
      </c>
      <c r="AE12" s="164">
        <f t="shared" si="121"/>
        <v>274.62</v>
      </c>
      <c r="AF12" s="164">
        <f t="shared" si="121"/>
        <v>274.62</v>
      </c>
      <c r="AG12" s="164">
        <f t="shared" si="121"/>
        <v>274.62</v>
      </c>
      <c r="AH12" s="164">
        <f t="shared" si="121"/>
        <v>274.62</v>
      </c>
      <c r="AI12" s="164">
        <f t="shared" si="121"/>
        <v>274.62</v>
      </c>
      <c r="AJ12" s="164">
        <f t="shared" si="121"/>
        <v>274.62</v>
      </c>
      <c r="AK12" s="164">
        <f t="shared" si="121"/>
        <v>274.62</v>
      </c>
      <c r="AL12" s="164">
        <f t="shared" si="121"/>
        <v>274.62</v>
      </c>
      <c r="AM12" s="164">
        <f t="shared" si="121"/>
        <v>274.62</v>
      </c>
      <c r="AN12" s="164">
        <f t="shared" si="121"/>
        <v>274.62</v>
      </c>
      <c r="AO12" s="164">
        <f t="shared" si="121"/>
        <v>274.62</v>
      </c>
      <c r="AP12" s="164">
        <f t="shared" si="121"/>
        <v>274.62</v>
      </c>
      <c r="AQ12" s="164">
        <f t="shared" si="121"/>
        <v>274.62</v>
      </c>
      <c r="AR12" s="164">
        <f t="shared" si="121"/>
        <v>274.62</v>
      </c>
      <c r="AS12" s="164">
        <f t="shared" si="121"/>
        <v>274.62</v>
      </c>
      <c r="AT12" s="164">
        <f t="shared" si="121"/>
        <v>274.62</v>
      </c>
      <c r="AU12" s="164">
        <f t="shared" si="121"/>
        <v>274.62</v>
      </c>
      <c r="AV12" s="164">
        <f t="shared" si="121"/>
        <v>274.62</v>
      </c>
      <c r="AW12" s="164">
        <f t="shared" si="121"/>
        <v>274.62</v>
      </c>
      <c r="AX12" s="164">
        <f t="shared" si="121"/>
        <v>274.62</v>
      </c>
      <c r="AY12" s="164">
        <f t="shared" si="121"/>
        <v>274.62</v>
      </c>
      <c r="AZ12" s="164">
        <f t="shared" si="121"/>
        <v>274.62</v>
      </c>
      <c r="BA12" s="164">
        <f t="shared" si="121"/>
        <v>274.62</v>
      </c>
      <c r="BB12" s="164">
        <f t="shared" si="121"/>
        <v>274.62</v>
      </c>
      <c r="BC12" s="164">
        <f t="shared" si="121"/>
        <v>274.62</v>
      </c>
      <c r="BD12" s="164">
        <f t="shared" si="121"/>
        <v>274.62</v>
      </c>
      <c r="BE12" s="164">
        <f t="shared" si="121"/>
        <v>274.62</v>
      </c>
      <c r="BF12" s="164">
        <f t="shared" si="121"/>
        <v>274.62</v>
      </c>
      <c r="BG12" s="164">
        <f t="shared" si="121"/>
        <v>274.62</v>
      </c>
      <c r="BH12" s="164">
        <f t="shared" si="121"/>
        <v>274.62</v>
      </c>
      <c r="BI12" s="164">
        <f t="shared" si="121"/>
        <v>274.62</v>
      </c>
      <c r="BJ12" s="164">
        <f t="shared" si="121"/>
        <v>274.62</v>
      </c>
      <c r="BK12" s="164">
        <f t="shared" si="121"/>
        <v>274.62</v>
      </c>
      <c r="BL12" s="164">
        <f t="shared" si="121"/>
        <v>274.62</v>
      </c>
      <c r="BM12" s="164">
        <f t="shared" si="121"/>
        <v>274.62</v>
      </c>
      <c r="BN12" s="164">
        <f t="shared" si="121"/>
        <v>274.62</v>
      </c>
      <c r="BO12" s="164">
        <f t="shared" si="121"/>
        <v>274.62</v>
      </c>
      <c r="BP12" s="164">
        <f t="shared" ref="BP12:EA12" si="122">137.31+137.31</f>
        <v>274.62</v>
      </c>
      <c r="BQ12" s="164">
        <f t="shared" si="122"/>
        <v>274.62</v>
      </c>
      <c r="BR12" s="164">
        <f t="shared" si="122"/>
        <v>274.62</v>
      </c>
      <c r="BS12" s="164">
        <f t="shared" si="122"/>
        <v>274.62</v>
      </c>
      <c r="BT12" s="164">
        <f t="shared" si="122"/>
        <v>274.62</v>
      </c>
      <c r="BU12" s="164">
        <f t="shared" si="122"/>
        <v>274.62</v>
      </c>
      <c r="BV12" s="164">
        <f t="shared" si="122"/>
        <v>274.62</v>
      </c>
      <c r="BW12" s="164">
        <f t="shared" si="122"/>
        <v>274.62</v>
      </c>
      <c r="BX12" s="164">
        <f t="shared" si="122"/>
        <v>274.62</v>
      </c>
      <c r="BY12" s="164">
        <f t="shared" si="122"/>
        <v>274.62</v>
      </c>
      <c r="BZ12" s="164">
        <f t="shared" si="122"/>
        <v>274.62</v>
      </c>
      <c r="CA12" s="164">
        <f t="shared" si="122"/>
        <v>274.62</v>
      </c>
      <c r="CB12" s="164">
        <f t="shared" si="122"/>
        <v>274.62</v>
      </c>
      <c r="CC12" s="164">
        <f t="shared" si="122"/>
        <v>274.62</v>
      </c>
      <c r="CD12" s="164">
        <f t="shared" si="122"/>
        <v>274.62</v>
      </c>
      <c r="CE12" s="164">
        <f t="shared" si="122"/>
        <v>274.62</v>
      </c>
      <c r="CF12" s="164">
        <f t="shared" si="122"/>
        <v>274.62</v>
      </c>
      <c r="CG12" s="164">
        <f t="shared" si="122"/>
        <v>274.62</v>
      </c>
      <c r="CH12" s="164">
        <f t="shared" si="122"/>
        <v>274.62</v>
      </c>
      <c r="CI12" s="164">
        <f t="shared" si="122"/>
        <v>274.62</v>
      </c>
      <c r="CJ12" s="164">
        <f t="shared" si="122"/>
        <v>274.62</v>
      </c>
      <c r="CK12" s="164">
        <f t="shared" si="122"/>
        <v>274.62</v>
      </c>
      <c r="CL12" s="164">
        <f t="shared" si="122"/>
        <v>274.62</v>
      </c>
      <c r="CM12" s="164">
        <f t="shared" si="122"/>
        <v>274.62</v>
      </c>
      <c r="CN12" s="164">
        <f t="shared" si="122"/>
        <v>274.62</v>
      </c>
      <c r="CO12" s="164">
        <f t="shared" si="122"/>
        <v>274.62</v>
      </c>
      <c r="CP12" s="164">
        <f t="shared" si="122"/>
        <v>274.62</v>
      </c>
      <c r="CQ12" s="164">
        <f t="shared" si="122"/>
        <v>274.62</v>
      </c>
      <c r="CR12" s="164">
        <f t="shared" si="122"/>
        <v>274.62</v>
      </c>
      <c r="CS12" s="164">
        <f t="shared" si="122"/>
        <v>274.62</v>
      </c>
      <c r="CT12" s="164">
        <f t="shared" si="122"/>
        <v>274.62</v>
      </c>
      <c r="CU12" s="164">
        <f t="shared" si="122"/>
        <v>274.62</v>
      </c>
      <c r="CV12" s="164">
        <f t="shared" si="122"/>
        <v>274.62</v>
      </c>
      <c r="CW12" s="164">
        <f t="shared" si="122"/>
        <v>274.62</v>
      </c>
      <c r="CX12" s="164">
        <f t="shared" si="122"/>
        <v>274.62</v>
      </c>
      <c r="CY12" s="164">
        <f t="shared" si="122"/>
        <v>274.62</v>
      </c>
      <c r="CZ12" s="164">
        <f t="shared" si="122"/>
        <v>274.62</v>
      </c>
      <c r="DA12" s="164">
        <f t="shared" si="122"/>
        <v>274.62</v>
      </c>
      <c r="DB12" s="164">
        <f t="shared" si="122"/>
        <v>274.62</v>
      </c>
      <c r="DC12" s="164">
        <f t="shared" si="122"/>
        <v>274.62</v>
      </c>
      <c r="DD12" s="164">
        <f t="shared" si="122"/>
        <v>274.62</v>
      </c>
      <c r="DE12" s="164">
        <f t="shared" si="122"/>
        <v>274.62</v>
      </c>
      <c r="DF12" s="164">
        <f t="shared" si="122"/>
        <v>274.62</v>
      </c>
      <c r="DG12" s="164">
        <f t="shared" si="122"/>
        <v>274.62</v>
      </c>
      <c r="DH12" s="164">
        <f t="shared" si="122"/>
        <v>274.62</v>
      </c>
      <c r="DI12" s="164">
        <f t="shared" si="122"/>
        <v>274.62</v>
      </c>
      <c r="DJ12" s="164">
        <f t="shared" si="122"/>
        <v>274.62</v>
      </c>
      <c r="DK12" s="164">
        <f t="shared" si="122"/>
        <v>274.62</v>
      </c>
      <c r="DL12" s="164">
        <f t="shared" si="122"/>
        <v>274.62</v>
      </c>
      <c r="DM12" s="164">
        <f t="shared" si="122"/>
        <v>274.62</v>
      </c>
      <c r="DN12" s="164">
        <f t="shared" si="122"/>
        <v>274.62</v>
      </c>
      <c r="DO12" s="164">
        <f t="shared" si="122"/>
        <v>274.62</v>
      </c>
      <c r="DP12" s="164">
        <f t="shared" si="122"/>
        <v>274.62</v>
      </c>
      <c r="DQ12" s="164">
        <f t="shared" si="122"/>
        <v>274.62</v>
      </c>
      <c r="DR12" s="164">
        <f t="shared" si="122"/>
        <v>274.62</v>
      </c>
      <c r="DS12" s="164">
        <f t="shared" si="122"/>
        <v>274.62</v>
      </c>
      <c r="DT12" s="164">
        <f t="shared" si="122"/>
        <v>274.62</v>
      </c>
      <c r="DU12" s="164">
        <f t="shared" si="122"/>
        <v>274.62</v>
      </c>
      <c r="DV12" s="164">
        <f t="shared" si="122"/>
        <v>274.62</v>
      </c>
      <c r="DW12" s="164">
        <f t="shared" si="122"/>
        <v>274.62</v>
      </c>
      <c r="DX12" s="164">
        <f t="shared" si="122"/>
        <v>274.62</v>
      </c>
      <c r="DY12" s="164">
        <f t="shared" si="122"/>
        <v>274.62</v>
      </c>
      <c r="DZ12" s="164">
        <f t="shared" si="122"/>
        <v>274.62</v>
      </c>
      <c r="EA12" s="164">
        <f t="shared" si="122"/>
        <v>274.62</v>
      </c>
      <c r="EB12" s="164">
        <f t="shared" ref="EB12:ED12" si="123">137.31+137.31</f>
        <v>274.62</v>
      </c>
      <c r="EC12" s="164">
        <f t="shared" si="123"/>
        <v>274.62</v>
      </c>
      <c r="ED12" s="164">
        <f t="shared" si="123"/>
        <v>274.62</v>
      </c>
    </row>
    <row r="13" spans="2:134" s="6" customFormat="1" ht="21" customHeight="1" x14ac:dyDescent="0.2">
      <c r="B13" s="22"/>
      <c r="C13" s="164">
        <v>1183.46</v>
      </c>
      <c r="D13" s="164">
        <v>1183.46</v>
      </c>
      <c r="E13" s="164">
        <v>1183.46</v>
      </c>
      <c r="F13" s="164">
        <v>1183.46</v>
      </c>
      <c r="G13" s="164">
        <v>1183.46</v>
      </c>
      <c r="H13" s="164">
        <v>1183.46</v>
      </c>
      <c r="I13" s="164">
        <v>1183.46</v>
      </c>
      <c r="J13" s="164">
        <v>1183.46</v>
      </c>
      <c r="K13" s="164">
        <v>1183.46</v>
      </c>
      <c r="L13" s="164">
        <v>1183.46</v>
      </c>
      <c r="M13" s="164">
        <v>1183.46</v>
      </c>
      <c r="N13" s="164">
        <v>1183.46</v>
      </c>
      <c r="O13" s="164">
        <v>1183.46</v>
      </c>
      <c r="P13" s="164">
        <v>1183.46</v>
      </c>
      <c r="Q13" s="164">
        <v>1183.46</v>
      </c>
      <c r="R13" s="164">
        <v>1183.46</v>
      </c>
      <c r="S13" s="164">
        <v>1183.46</v>
      </c>
      <c r="T13" s="164">
        <v>1183.46</v>
      </c>
      <c r="U13" s="164">
        <v>1183.46</v>
      </c>
      <c r="V13" s="164">
        <v>1183.46</v>
      </c>
      <c r="W13" s="164">
        <v>1183.46</v>
      </c>
      <c r="X13" s="164">
        <v>1183.46</v>
      </c>
      <c r="Y13" s="164">
        <v>1183.46</v>
      </c>
      <c r="Z13" s="164">
        <v>1183.46</v>
      </c>
      <c r="AA13" s="164">
        <v>1183.46</v>
      </c>
      <c r="AB13" s="164">
        <v>1183.46</v>
      </c>
      <c r="AC13" s="164">
        <v>1183.46</v>
      </c>
      <c r="AD13" s="164">
        <v>1183.46</v>
      </c>
      <c r="AE13" s="164">
        <v>1183.46</v>
      </c>
      <c r="AF13" s="164">
        <v>1183.46</v>
      </c>
      <c r="AG13" s="164">
        <v>1183.46</v>
      </c>
      <c r="AH13" s="164">
        <v>1183.46</v>
      </c>
      <c r="AI13" s="164">
        <v>1183.46</v>
      </c>
      <c r="AJ13" s="164">
        <v>1183.46</v>
      </c>
      <c r="AK13" s="164">
        <v>1183.46</v>
      </c>
      <c r="AL13" s="164">
        <v>1183.46</v>
      </c>
      <c r="AM13" s="164">
        <v>1183.46</v>
      </c>
      <c r="AN13" s="164">
        <v>1183.46</v>
      </c>
      <c r="AO13" s="164">
        <v>1183.46</v>
      </c>
      <c r="AP13" s="164">
        <v>1183.46</v>
      </c>
      <c r="AQ13" s="164">
        <v>1183.46</v>
      </c>
      <c r="AR13" s="164">
        <v>1183.46</v>
      </c>
      <c r="AS13" s="164">
        <v>1183.46</v>
      </c>
      <c r="AT13" s="164">
        <v>1183.46</v>
      </c>
      <c r="AU13" s="164">
        <v>1183.46</v>
      </c>
      <c r="AV13" s="164">
        <v>1183.46</v>
      </c>
      <c r="AW13" s="164">
        <v>1183.46</v>
      </c>
      <c r="AX13" s="164">
        <v>1183.46</v>
      </c>
      <c r="AY13" s="164">
        <v>1183.46</v>
      </c>
      <c r="AZ13" s="164">
        <v>1183.46</v>
      </c>
      <c r="BA13" s="164">
        <v>1183.46</v>
      </c>
      <c r="BB13" s="164">
        <v>1183.46</v>
      </c>
      <c r="BC13" s="164">
        <v>1183.46</v>
      </c>
      <c r="BD13" s="164">
        <v>1183.46</v>
      </c>
      <c r="BE13" s="164">
        <v>1183.46</v>
      </c>
      <c r="BF13" s="164">
        <v>1183.46</v>
      </c>
      <c r="BG13" s="164">
        <v>1183.46</v>
      </c>
      <c r="BH13" s="164">
        <v>1183.46</v>
      </c>
      <c r="BI13" s="164">
        <v>1183.46</v>
      </c>
      <c r="BJ13" s="164">
        <v>1183.46</v>
      </c>
      <c r="BK13" s="164">
        <v>1183.46</v>
      </c>
      <c r="BL13" s="164">
        <v>1183.46</v>
      </c>
      <c r="BM13" s="164">
        <v>1183.46</v>
      </c>
      <c r="BN13" s="164">
        <v>1183.46</v>
      </c>
      <c r="BO13" s="164">
        <v>1183.46</v>
      </c>
      <c r="BP13" s="164">
        <v>1183.46</v>
      </c>
      <c r="BQ13" s="164">
        <v>1183.46</v>
      </c>
      <c r="BR13" s="164">
        <v>1183.46</v>
      </c>
      <c r="BS13" s="164">
        <v>1183.46</v>
      </c>
      <c r="BT13" s="164">
        <v>1183.46</v>
      </c>
      <c r="BU13" s="164">
        <v>1183.46</v>
      </c>
      <c r="BV13" s="164">
        <v>1183.46</v>
      </c>
      <c r="BW13" s="164">
        <v>1183.46</v>
      </c>
      <c r="BX13" s="164">
        <v>1183.46</v>
      </c>
      <c r="BY13" s="164">
        <v>1183.46</v>
      </c>
      <c r="BZ13" s="164">
        <v>1183.46</v>
      </c>
      <c r="CA13" s="164">
        <v>1183.46</v>
      </c>
      <c r="CB13" s="164">
        <v>1183.46</v>
      </c>
      <c r="CC13" s="164">
        <v>1183.46</v>
      </c>
      <c r="CD13" s="164">
        <v>1183.46</v>
      </c>
      <c r="CE13" s="164">
        <v>1183.46</v>
      </c>
      <c r="CF13" s="164">
        <v>1183.46</v>
      </c>
      <c r="CG13" s="164">
        <v>1183.46</v>
      </c>
      <c r="CH13" s="164">
        <v>1183.46</v>
      </c>
      <c r="CI13" s="164">
        <v>1183.46</v>
      </c>
      <c r="CJ13" s="164">
        <v>1183.46</v>
      </c>
      <c r="CK13" s="164">
        <v>1183.46</v>
      </c>
      <c r="CL13" s="164">
        <v>1183.46</v>
      </c>
      <c r="CM13" s="164">
        <v>1183.46</v>
      </c>
      <c r="CN13" s="164">
        <v>1183.46</v>
      </c>
      <c r="CO13" s="164">
        <v>1183.46</v>
      </c>
      <c r="CP13" s="164">
        <v>1183.46</v>
      </c>
      <c r="CQ13" s="164">
        <v>1183.46</v>
      </c>
      <c r="CR13" s="164">
        <v>1183.46</v>
      </c>
      <c r="CS13" s="164">
        <v>1183.46</v>
      </c>
      <c r="CT13" s="164">
        <v>1183.46</v>
      </c>
      <c r="CU13" s="164">
        <v>1183.46</v>
      </c>
      <c r="CV13" s="164">
        <v>1183.46</v>
      </c>
      <c r="CW13" s="164">
        <v>1183.46</v>
      </c>
      <c r="CX13" s="164">
        <v>1183.46</v>
      </c>
      <c r="CY13" s="164">
        <v>1183.46</v>
      </c>
      <c r="CZ13" s="164">
        <v>1183.46</v>
      </c>
      <c r="DA13" s="164">
        <v>1183.46</v>
      </c>
      <c r="DB13" s="164">
        <v>1183.46</v>
      </c>
      <c r="DC13" s="164">
        <v>1183.46</v>
      </c>
      <c r="DD13" s="164">
        <v>1183.46</v>
      </c>
      <c r="DE13" s="164">
        <v>1183.46</v>
      </c>
      <c r="DF13" s="164">
        <v>1183.46</v>
      </c>
      <c r="DG13" s="164">
        <v>1183.46</v>
      </c>
      <c r="DH13" s="164">
        <v>1183.46</v>
      </c>
      <c r="DI13" s="164">
        <v>1183.46</v>
      </c>
      <c r="DJ13" s="164">
        <v>1183.46</v>
      </c>
      <c r="DK13" s="164">
        <v>1183.46</v>
      </c>
      <c r="DL13" s="164">
        <v>1183.46</v>
      </c>
      <c r="DM13" s="164">
        <v>1183.46</v>
      </c>
      <c r="DN13" s="164">
        <v>1183.46</v>
      </c>
      <c r="DO13" s="164">
        <v>1183.46</v>
      </c>
      <c r="DP13" s="164">
        <v>1183.46</v>
      </c>
      <c r="DQ13" s="164">
        <v>1183.46</v>
      </c>
      <c r="DR13" s="164">
        <v>1183.46</v>
      </c>
      <c r="DS13" s="164">
        <v>1183.46</v>
      </c>
      <c r="DT13" s="164">
        <v>1183.46</v>
      </c>
      <c r="DU13" s="164">
        <v>1183.46</v>
      </c>
      <c r="DV13" s="164">
        <v>1183.46</v>
      </c>
      <c r="DW13" s="164">
        <v>1183.46</v>
      </c>
      <c r="DX13" s="164">
        <v>1183.46</v>
      </c>
      <c r="DY13" s="164">
        <v>1183.46</v>
      </c>
      <c r="DZ13" s="164">
        <v>1183.46</v>
      </c>
      <c r="EA13" s="164">
        <v>1183.46</v>
      </c>
      <c r="EB13" s="164">
        <v>1183.46</v>
      </c>
      <c r="EC13" s="164">
        <v>1183.46</v>
      </c>
      <c r="ED13" s="164">
        <v>1183.46</v>
      </c>
    </row>
    <row r="14" spans="2:134" s="6" customFormat="1" ht="21" customHeight="1" x14ac:dyDescent="0.2">
      <c r="B14" s="22"/>
    </row>
    <row r="15" spans="2:134" s="6" customFormat="1" ht="21" customHeight="1" x14ac:dyDescent="0.2">
      <c r="B15" s="22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2"/>
      <c r="DQ15" s="92"/>
      <c r="DR15" s="92"/>
      <c r="DS15" s="92"/>
      <c r="DT15" s="92"/>
      <c r="DU15" s="92"/>
      <c r="DV15" s="92"/>
      <c r="DW15" s="92"/>
      <c r="DX15" s="92"/>
      <c r="DY15" s="92"/>
      <c r="DZ15" s="92"/>
      <c r="EA15" s="92"/>
      <c r="EB15" s="92"/>
      <c r="EC15" s="92"/>
      <c r="ED15" s="92"/>
    </row>
    <row r="16" spans="2:134" ht="21" customHeight="1" x14ac:dyDescent="0.2"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  <c r="CC16" s="117"/>
      <c r="CD16" s="117"/>
      <c r="CE16" s="117"/>
      <c r="CF16" s="117"/>
      <c r="CG16" s="117"/>
      <c r="CH16" s="117"/>
      <c r="CI16" s="117"/>
      <c r="CJ16" s="117"/>
      <c r="CK16" s="117"/>
      <c r="CL16" s="117"/>
      <c r="CM16" s="117"/>
      <c r="CN16" s="117"/>
      <c r="CO16" s="117"/>
      <c r="CP16" s="117"/>
      <c r="CQ16" s="117"/>
      <c r="CR16" s="117"/>
      <c r="CS16" s="117"/>
      <c r="CT16" s="117"/>
      <c r="CU16" s="117"/>
      <c r="CV16" s="117"/>
      <c r="CW16" s="117"/>
      <c r="CX16" s="117"/>
      <c r="CY16" s="117"/>
      <c r="CZ16" s="117"/>
      <c r="DA16" s="117"/>
      <c r="DB16" s="117"/>
      <c r="DC16" s="117"/>
      <c r="DD16" s="117"/>
      <c r="DE16" s="117"/>
      <c r="DF16" s="117"/>
      <c r="DG16" s="117"/>
      <c r="DH16" s="117"/>
      <c r="DI16" s="117"/>
      <c r="DJ16" s="117"/>
      <c r="DK16" s="117"/>
      <c r="DL16" s="117"/>
      <c r="DM16" s="117"/>
      <c r="DN16" s="117"/>
      <c r="DO16" s="117"/>
      <c r="DP16" s="117"/>
      <c r="DQ16" s="117"/>
      <c r="DR16" s="117"/>
      <c r="DS16" s="117"/>
      <c r="DT16" s="117"/>
      <c r="DU16" s="117"/>
      <c r="DV16" s="117"/>
      <c r="DW16" s="117"/>
      <c r="DX16" s="117"/>
      <c r="DY16" s="117"/>
      <c r="DZ16" s="117"/>
      <c r="EA16" s="117"/>
      <c r="EB16" s="117"/>
      <c r="EC16" s="117"/>
      <c r="ED16" s="117"/>
    </row>
    <row r="17" spans="2:134" ht="21" customHeight="1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</row>
    <row r="18" spans="2:134" s="23" customFormat="1" ht="21" customHeight="1" x14ac:dyDescent="0.2">
      <c r="B18" s="22"/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</row>
    <row r="19" spans="2:134" ht="21" customHeight="1" x14ac:dyDescent="0.2"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</row>
    <row r="20" spans="2:134" ht="21" customHeight="1" x14ac:dyDescent="0.2"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</row>
    <row r="81" spans="5:5" x14ac:dyDescent="0.2">
      <c r="E81" s="47"/>
    </row>
  </sheetData>
  <printOptions horizontalCentered="1"/>
  <pageMargins left="0.7" right="0.7" top="0.2" bottom="0.2" header="0.3" footer="0.3"/>
  <pageSetup paperSize="9" scale="15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E79F-0E62-A148-B513-3B87D95314FB}">
  <sheetPr>
    <pageSetUpPr fitToPage="1"/>
  </sheetPr>
  <dimension ref="A3:EE186"/>
  <sheetViews>
    <sheetView showGridLines="0" topLeftCell="B1" zoomScaleNormal="142" workbookViewId="0">
      <selection activeCell="AJ22" sqref="AJ22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20" width="11.5" style="1" bestFit="1" customWidth="1"/>
    <col min="21" max="16384" width="10.83203125" style="1"/>
  </cols>
  <sheetData>
    <row r="3" spans="2:135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35" s="6" customFormat="1" ht="21" customHeight="1" x14ac:dyDescent="0.2">
      <c r="B4" s="6" t="s">
        <v>107</v>
      </c>
      <c r="C4" s="22" t="s">
        <v>64</v>
      </c>
      <c r="D4" s="95">
        <v>44927</v>
      </c>
      <c r="E4" s="95">
        <v>44958</v>
      </c>
      <c r="F4" s="95">
        <v>44986</v>
      </c>
      <c r="G4" s="95">
        <v>45017</v>
      </c>
      <c r="H4" s="95">
        <v>45047</v>
      </c>
      <c r="I4" s="95">
        <v>45078</v>
      </c>
      <c r="J4" s="95">
        <v>45108</v>
      </c>
      <c r="K4" s="95">
        <v>45139</v>
      </c>
      <c r="L4" s="95">
        <v>45170</v>
      </c>
      <c r="M4" s="95">
        <v>45200</v>
      </c>
      <c r="N4" s="95">
        <v>45231</v>
      </c>
      <c r="O4" s="95">
        <v>45261</v>
      </c>
      <c r="P4" s="95">
        <v>45292</v>
      </c>
      <c r="Q4" s="95">
        <v>45323</v>
      </c>
      <c r="R4" s="95">
        <v>45352</v>
      </c>
      <c r="S4" s="95">
        <v>45383</v>
      </c>
      <c r="T4" s="95">
        <v>45413</v>
      </c>
      <c r="U4" s="95">
        <v>45444</v>
      </c>
      <c r="V4" s="95">
        <v>45474</v>
      </c>
      <c r="W4" s="95">
        <v>45505</v>
      </c>
      <c r="X4" s="95">
        <v>45536</v>
      </c>
      <c r="Y4" s="95">
        <v>45566</v>
      </c>
      <c r="Z4" s="95">
        <v>45597</v>
      </c>
      <c r="AA4" s="95">
        <v>45627</v>
      </c>
      <c r="AB4" s="95">
        <v>45658</v>
      </c>
      <c r="AC4" s="95">
        <v>45689</v>
      </c>
      <c r="AD4" s="95">
        <v>45717</v>
      </c>
      <c r="AE4" s="95">
        <v>45748</v>
      </c>
      <c r="AF4" s="95">
        <v>45778</v>
      </c>
      <c r="AG4" s="95">
        <v>45809</v>
      </c>
      <c r="AH4" s="95">
        <v>45839</v>
      </c>
      <c r="AI4" s="95">
        <v>45870</v>
      </c>
      <c r="AJ4" s="95">
        <v>45901</v>
      </c>
      <c r="AK4" s="95">
        <v>45931</v>
      </c>
      <c r="AL4" s="95">
        <v>45962</v>
      </c>
      <c r="AM4" s="95">
        <v>45992</v>
      </c>
      <c r="AN4" s="95">
        <v>46023</v>
      </c>
      <c r="AO4" s="95">
        <v>46054</v>
      </c>
      <c r="AP4" s="95">
        <v>46082</v>
      </c>
      <c r="AQ4" s="95">
        <v>46113</v>
      </c>
      <c r="AR4" s="95">
        <v>46143</v>
      </c>
      <c r="AS4" s="95">
        <v>46174</v>
      </c>
      <c r="AT4" s="95">
        <v>46204</v>
      </c>
      <c r="AU4" s="95">
        <v>46235</v>
      </c>
      <c r="AV4" s="95">
        <v>46266</v>
      </c>
      <c r="AW4" s="95">
        <v>46296</v>
      </c>
      <c r="AX4" s="95">
        <v>46327</v>
      </c>
      <c r="AY4" s="95">
        <v>46357</v>
      </c>
      <c r="AZ4" s="95">
        <v>46388</v>
      </c>
      <c r="BA4" s="95">
        <v>46419</v>
      </c>
      <c r="BB4" s="95">
        <v>46447</v>
      </c>
      <c r="BC4" s="95">
        <v>46478</v>
      </c>
      <c r="BD4" s="95">
        <v>46508</v>
      </c>
      <c r="BE4" s="95">
        <v>46539</v>
      </c>
      <c r="BF4" s="95">
        <v>46569</v>
      </c>
      <c r="BG4" s="95">
        <v>46600</v>
      </c>
      <c r="BH4" s="95">
        <v>46631</v>
      </c>
      <c r="BI4" s="95">
        <v>46661</v>
      </c>
      <c r="BJ4" s="95">
        <v>46692</v>
      </c>
      <c r="BK4" s="95">
        <v>46722</v>
      </c>
      <c r="BL4" s="95">
        <v>46753</v>
      </c>
      <c r="BM4" s="95">
        <v>46784</v>
      </c>
      <c r="BN4" s="95">
        <v>46813</v>
      </c>
      <c r="BO4" s="95">
        <v>46844</v>
      </c>
      <c r="BP4" s="95">
        <v>46874</v>
      </c>
      <c r="BQ4" s="95">
        <v>46905</v>
      </c>
      <c r="BR4" s="95">
        <v>46935</v>
      </c>
      <c r="BS4" s="95">
        <v>46966</v>
      </c>
      <c r="BT4" s="95">
        <v>46997</v>
      </c>
      <c r="BU4" s="95">
        <v>47027</v>
      </c>
      <c r="BV4" s="95">
        <v>47058</v>
      </c>
      <c r="BW4" s="95">
        <v>47088</v>
      </c>
      <c r="BX4" s="95">
        <v>47119</v>
      </c>
      <c r="BY4" s="95">
        <v>47150</v>
      </c>
      <c r="BZ4" s="95">
        <v>47178</v>
      </c>
      <c r="CA4" s="95">
        <v>47209</v>
      </c>
      <c r="CB4" s="95">
        <v>47239</v>
      </c>
      <c r="CC4" s="95">
        <v>47270</v>
      </c>
      <c r="CD4" s="95">
        <v>47300</v>
      </c>
      <c r="CE4" s="95">
        <v>47331</v>
      </c>
      <c r="CF4" s="95">
        <v>47362</v>
      </c>
      <c r="CG4" s="95">
        <v>47392</v>
      </c>
      <c r="CH4" s="95">
        <v>47423</v>
      </c>
      <c r="CI4" s="95">
        <v>47453</v>
      </c>
      <c r="CJ4" s="95">
        <v>47484</v>
      </c>
      <c r="CK4" s="95">
        <v>47515</v>
      </c>
      <c r="CL4" s="95">
        <v>47543</v>
      </c>
      <c r="CM4" s="95">
        <v>47574</v>
      </c>
      <c r="CN4" s="95">
        <v>47604</v>
      </c>
      <c r="CO4" s="95">
        <v>47635</v>
      </c>
      <c r="CP4" s="95">
        <v>47665</v>
      </c>
      <c r="CQ4" s="95">
        <v>47696</v>
      </c>
      <c r="CR4" s="95">
        <v>47727</v>
      </c>
      <c r="CS4" s="95">
        <v>47757</v>
      </c>
      <c r="CT4" s="95">
        <v>47788</v>
      </c>
      <c r="CU4" s="95">
        <v>47818</v>
      </c>
      <c r="CV4" s="95">
        <v>47849</v>
      </c>
      <c r="CW4" s="95">
        <v>47880</v>
      </c>
      <c r="CX4" s="95">
        <v>47908</v>
      </c>
      <c r="CY4" s="95">
        <v>47939</v>
      </c>
      <c r="CZ4" s="95">
        <v>47969</v>
      </c>
      <c r="DA4" s="95">
        <v>48000</v>
      </c>
      <c r="DB4" s="95">
        <v>48030</v>
      </c>
      <c r="DC4" s="95">
        <v>48061</v>
      </c>
      <c r="DD4" s="95">
        <v>48092</v>
      </c>
      <c r="DE4" s="95">
        <v>48122</v>
      </c>
      <c r="DF4" s="95">
        <v>48153</v>
      </c>
      <c r="DG4" s="95">
        <v>48183</v>
      </c>
      <c r="DH4" s="95">
        <v>48214</v>
      </c>
      <c r="DI4" s="95">
        <v>48245</v>
      </c>
      <c r="DJ4" s="95">
        <v>48274</v>
      </c>
      <c r="DK4" s="95">
        <v>48305</v>
      </c>
      <c r="DL4" s="95">
        <v>48335</v>
      </c>
      <c r="DM4" s="95">
        <v>48366</v>
      </c>
      <c r="DN4" s="95">
        <v>48396</v>
      </c>
      <c r="DO4" s="95">
        <v>48427</v>
      </c>
      <c r="DP4" s="95">
        <v>48458</v>
      </c>
      <c r="DQ4" s="95">
        <v>48488</v>
      </c>
      <c r="DR4" s="95">
        <v>48519</v>
      </c>
      <c r="DS4" s="95">
        <v>48549</v>
      </c>
      <c r="DT4" s="95">
        <v>48580</v>
      </c>
      <c r="DU4" s="95">
        <v>48611</v>
      </c>
      <c r="DV4" s="95">
        <v>48639</v>
      </c>
      <c r="DW4" s="95">
        <v>48670</v>
      </c>
      <c r="DX4" s="95">
        <v>48700</v>
      </c>
      <c r="DY4" s="95">
        <v>48731</v>
      </c>
      <c r="DZ4" s="95">
        <v>48761</v>
      </c>
      <c r="EA4" s="95">
        <v>48792</v>
      </c>
      <c r="EB4" s="95">
        <v>48823</v>
      </c>
      <c r="EC4" s="95">
        <v>48853</v>
      </c>
      <c r="ED4" s="95">
        <v>48884</v>
      </c>
      <c r="EE4" s="95">
        <v>48914</v>
      </c>
    </row>
    <row r="5" spans="2:135" s="6" customFormat="1" ht="21" customHeight="1" x14ac:dyDescent="0.2">
      <c r="B5" s="110">
        <v>60456.72</v>
      </c>
      <c r="C5" s="22" t="s">
        <v>108</v>
      </c>
      <c r="D5" s="97">
        <f>'TE Office (m)'!C8</f>
        <v>44928.815342773254</v>
      </c>
      <c r="E5" s="97">
        <f>'TE Office (m)'!D8</f>
        <v>44928.815342773254</v>
      </c>
      <c r="F5" s="97">
        <f>'TE Office (m)'!E8</f>
        <v>44676.970832326013</v>
      </c>
      <c r="G5" s="97">
        <f>'TE Office (m)'!F8</f>
        <v>44676.970832326013</v>
      </c>
      <c r="H5" s="97">
        <f>'TE Office (m)'!G8</f>
        <v>44814.640832326011</v>
      </c>
      <c r="I5" s="97">
        <f>'TE Office (m)'!H8</f>
        <v>44814.640832326011</v>
      </c>
      <c r="J5" s="97">
        <f>'TE Office (m)'!I8</f>
        <v>49667.978276055313</v>
      </c>
      <c r="K5" s="97">
        <f>'TE Office (m)'!J8</f>
        <v>51228.788276055311</v>
      </c>
      <c r="L5" s="97">
        <f>'TE Office (m)'!K8</f>
        <v>51228.788276055311</v>
      </c>
      <c r="M5" s="97">
        <f>'TE Office (m)'!L8</f>
        <v>52458.848276055309</v>
      </c>
      <c r="N5" s="97">
        <f>'TE Office (m)'!M8</f>
        <v>52031.478276055313</v>
      </c>
      <c r="O5" s="97">
        <f>'TE Office (m)'!N8</f>
        <v>52520.128276055315</v>
      </c>
      <c r="P5" s="97">
        <f>'TE Office (m)'!O8</f>
        <v>53441.058276055308</v>
      </c>
      <c r="Q5" s="97">
        <f>'TE Office (m)'!P8</f>
        <v>53403.648276055304</v>
      </c>
      <c r="R5" s="97">
        <f>'TE Office (m)'!Q8</f>
        <v>53403.648276055304</v>
      </c>
      <c r="S5" s="97">
        <f>'TE Office (m)'!R8</f>
        <v>53673.378276055308</v>
      </c>
      <c r="T5" s="97">
        <f>'TE Office (m)'!S8</f>
        <v>53673.378276055308</v>
      </c>
      <c r="U5" s="97">
        <f>'TE Office (m)'!T8</f>
        <v>53673.378276055308</v>
      </c>
      <c r="V5" s="97">
        <f>'TE Office (m)'!U8</f>
        <v>53945.458276055309</v>
      </c>
      <c r="W5" s="97">
        <f>'TE Office (m)'!V8</f>
        <v>53945.458276055309</v>
      </c>
      <c r="X5" s="97">
        <f>'TE Office (m)'!W8</f>
        <v>53945.458276055309</v>
      </c>
      <c r="Y5" s="97">
        <f>'TE Office (m)'!X8</f>
        <v>53945.458276055309</v>
      </c>
      <c r="Z5" s="97">
        <f>'TE Office (m)'!Y8</f>
        <v>53945.458276055309</v>
      </c>
      <c r="AA5" s="97">
        <f>'TE Office (m)'!Z8</f>
        <v>53945.458276055309</v>
      </c>
      <c r="AB5" s="97">
        <f>'TE Office (m)'!AA8</f>
        <v>53945.458276055309</v>
      </c>
      <c r="AC5" s="97">
        <f>'TE Office (m)'!AB8</f>
        <v>53945.458276055309</v>
      </c>
      <c r="AD5" s="97">
        <f>'TE Office (m)'!AC8</f>
        <v>53945.458276055309</v>
      </c>
      <c r="AE5" s="97">
        <f>'TE Office (m)'!AD8</f>
        <v>53945.458276055309</v>
      </c>
      <c r="AF5" s="97">
        <f>'TE Office (m)'!AE8</f>
        <v>53638.538276055311</v>
      </c>
      <c r="AG5" s="97">
        <f>'TE Office (m)'!AF8</f>
        <v>53638.538276055311</v>
      </c>
      <c r="AH5" s="97">
        <f>'TE Office (m)'!AG8</f>
        <v>53638.538276055311</v>
      </c>
      <c r="AI5" s="97">
        <f>'TE Office (m)'!AH8</f>
        <v>53638.538276055311</v>
      </c>
      <c r="AJ5" s="97">
        <f>'TE Office (m)'!AI8</f>
        <v>53638.538276055311</v>
      </c>
      <c r="AK5" s="97">
        <f>'TE Office (m)'!AJ8</f>
        <v>53638.538276055311</v>
      </c>
      <c r="AL5" s="97">
        <f>'TE Office (m)'!AK8</f>
        <v>53640.538276055311</v>
      </c>
      <c r="AM5" s="97">
        <f>'TE Office (m)'!AL8</f>
        <v>53640.538276055311</v>
      </c>
      <c r="AN5" s="97">
        <f>'TE Office (m)'!AM8</f>
        <v>53640.538276055311</v>
      </c>
      <c r="AO5" s="97">
        <f>'TE Office (m)'!AN8</f>
        <v>53640.538276055311</v>
      </c>
      <c r="AP5" s="97">
        <f>'TE Office (m)'!AO8</f>
        <v>53640.538276055311</v>
      </c>
      <c r="AQ5" s="97">
        <f>'TE Office (m)'!AP8</f>
        <v>53640.538276055311</v>
      </c>
      <c r="AR5" s="97">
        <f>'TE Office (m)'!AQ8</f>
        <v>53502.868276055306</v>
      </c>
      <c r="AS5" s="97">
        <f>'TE Office (m)'!AR8</f>
        <v>53502.868276055306</v>
      </c>
      <c r="AT5" s="97">
        <f>'TE Office (m)'!AS8</f>
        <v>53366.888276055302</v>
      </c>
      <c r="AU5" s="97">
        <f>'TE Office (m)'!AT8</f>
        <v>53366.888276055302</v>
      </c>
      <c r="AV5" s="97">
        <f>'TE Office (m)'!AU8</f>
        <v>53366.888276055302</v>
      </c>
      <c r="AW5" s="97">
        <f>'TE Office (m)'!AV8</f>
        <v>53366.888276055302</v>
      </c>
      <c r="AX5" s="97">
        <f>'TE Office (m)'!AW8</f>
        <v>53366.888276055302</v>
      </c>
      <c r="AY5" s="97">
        <f>'TE Office (m)'!AX8</f>
        <v>53366.888276055302</v>
      </c>
      <c r="AZ5" s="97">
        <f>'TE Office (m)'!AY8</f>
        <v>53791.899108381323</v>
      </c>
      <c r="BA5" s="97">
        <f>'TE Office (m)'!AZ8</f>
        <v>53791.899108381323</v>
      </c>
      <c r="BB5" s="97">
        <f>'TE Office (m)'!BA8</f>
        <v>53791.899108381323</v>
      </c>
      <c r="BC5" s="97">
        <f>'TE Office (m)'!BB8</f>
        <v>53791.899108381323</v>
      </c>
      <c r="BD5" s="97">
        <f>'TE Office (m)'!BC8</f>
        <v>53791.899108381323</v>
      </c>
      <c r="BE5" s="97">
        <f>'TE Office (m)'!BD8</f>
        <v>53791.899108381323</v>
      </c>
      <c r="BF5" s="97">
        <f>'TE Office (m)'!BE8</f>
        <v>53791.899108381323</v>
      </c>
      <c r="BG5" s="97">
        <f>'TE Office (m)'!BF8</f>
        <v>53791.899108381323</v>
      </c>
      <c r="BH5" s="97">
        <f>'TE Office (m)'!BG8</f>
        <v>50696.449108381326</v>
      </c>
      <c r="BI5" s="97">
        <f>'TE Office (m)'!BH8</f>
        <v>50696.449108381326</v>
      </c>
      <c r="BJ5" s="97">
        <f>'TE Office (m)'!BI8</f>
        <v>50696.449108381326</v>
      </c>
      <c r="BK5" s="97">
        <f>'TE Office (m)'!BJ8</f>
        <v>50696.449108381326</v>
      </c>
      <c r="BL5" s="97">
        <f>'TE Office (m)'!BK8</f>
        <v>52905.969313511392</v>
      </c>
      <c r="BM5" s="97">
        <f>'TE Office (m)'!BL8</f>
        <v>52905.969313511392</v>
      </c>
      <c r="BN5" s="97">
        <f>'TE Office (m)'!BM8</f>
        <v>52905.969313511392</v>
      </c>
      <c r="BO5" s="97">
        <f>'TE Office (m)'!BN8</f>
        <v>52905.969313511392</v>
      </c>
      <c r="BP5" s="97">
        <f>'TE Office (m)'!BO8</f>
        <v>52905.969313511392</v>
      </c>
      <c r="BQ5" s="97">
        <f>'TE Office (m)'!BP8</f>
        <v>52905.969313511392</v>
      </c>
      <c r="BR5" s="97">
        <f>'TE Office (m)'!BQ8</f>
        <v>52905.969313511392</v>
      </c>
      <c r="BS5" s="97">
        <f>'TE Office (m)'!BR8</f>
        <v>52905.969313511392</v>
      </c>
      <c r="BT5" s="97">
        <f>'TE Office (m)'!BS8</f>
        <v>52905.969313511392</v>
      </c>
      <c r="BU5" s="97">
        <f>'TE Office (m)'!BT8</f>
        <v>52905.969313511392</v>
      </c>
      <c r="BV5" s="97">
        <f>'TE Office (m)'!BU8</f>
        <v>52905.969313511392</v>
      </c>
      <c r="BW5" s="97">
        <f>'TE Office (m)'!BV8</f>
        <v>52905.969313511392</v>
      </c>
      <c r="BX5" s="97">
        <f>'TE Office (m)'!BW8</f>
        <v>53689.379313511396</v>
      </c>
      <c r="BY5" s="97">
        <f>'TE Office (m)'!BX8</f>
        <v>53689.379313511396</v>
      </c>
      <c r="BZ5" s="97">
        <f>'TE Office (m)'!BY8</f>
        <v>53689.379313511396</v>
      </c>
      <c r="CA5" s="97">
        <f>'TE Office (m)'!BZ8</f>
        <v>53402.039313511399</v>
      </c>
      <c r="CB5" s="97">
        <f>'TE Office (m)'!CA8</f>
        <v>53677.369313511401</v>
      </c>
      <c r="CC5" s="97">
        <f>'TE Office (m)'!CB8</f>
        <v>53677.369313511401</v>
      </c>
      <c r="CD5" s="97">
        <f>'TE Office (m)'!CC8</f>
        <v>53949.449313511403</v>
      </c>
      <c r="CE5" s="97">
        <f>'TE Office (m)'!CD8</f>
        <v>53674.119313511401</v>
      </c>
      <c r="CF5" s="97">
        <f>'TE Office (m)'!CE8</f>
        <v>53674.119313511401</v>
      </c>
      <c r="CG5" s="97">
        <f>'TE Office (m)'!CF8</f>
        <v>53536.599313511404</v>
      </c>
      <c r="CH5" s="97">
        <f>'TE Office (m)'!CG8</f>
        <v>53536.599313511404</v>
      </c>
      <c r="CI5" s="97">
        <f>'TE Office (m)'!CH8</f>
        <v>53536.599313511404</v>
      </c>
      <c r="CJ5" s="97">
        <f>'TE Office (m)'!CI8</f>
        <v>52481.109313511399</v>
      </c>
      <c r="CK5" s="97">
        <f>'TE Office (m)'!CJ8</f>
        <v>52481.109313511399</v>
      </c>
      <c r="CL5" s="97">
        <f>'TE Office (m)'!CK8</f>
        <v>52481.109313511399</v>
      </c>
      <c r="CM5" s="97">
        <f>'TE Office (m)'!CL8</f>
        <v>52481.109313511399</v>
      </c>
      <c r="CN5" s="97">
        <f>'TE Office (m)'!CM8</f>
        <v>52481.109313511399</v>
      </c>
      <c r="CO5" s="97">
        <f>'TE Office (m)'!CN8</f>
        <v>52481.109313511399</v>
      </c>
      <c r="CP5" s="97">
        <f>'TE Office (m)'!CO8</f>
        <v>54028.789313511399</v>
      </c>
      <c r="CQ5" s="97">
        <f>'TE Office (m)'!CP8</f>
        <v>54028.789313511399</v>
      </c>
      <c r="CR5" s="97">
        <f>'TE Office (m)'!CQ8</f>
        <v>54028.789313511399</v>
      </c>
      <c r="CS5" s="97">
        <f>'TE Office (m)'!CR8</f>
        <v>54028.789313511399</v>
      </c>
      <c r="CT5" s="97">
        <f>'TE Office (m)'!CS8</f>
        <v>54028.789313511399</v>
      </c>
      <c r="CU5" s="97">
        <f>'TE Office (m)'!CT8</f>
        <v>54028.789313511399</v>
      </c>
      <c r="CV5" s="97">
        <f>'TE Office (m)'!CU8</f>
        <v>54028.789313511399</v>
      </c>
      <c r="CW5" s="97">
        <f>'TE Office (m)'!CV8</f>
        <v>54028.789313511399</v>
      </c>
      <c r="CX5" s="97">
        <f>'TE Office (m)'!CW8</f>
        <v>54028.789313511399</v>
      </c>
      <c r="CY5" s="97">
        <f>'TE Office (m)'!CX8</f>
        <v>54028.789313511399</v>
      </c>
      <c r="CZ5" s="97">
        <f>'TE Office (m)'!CY8</f>
        <v>54028.789313511399</v>
      </c>
      <c r="DA5" s="97">
        <f>'TE Office (m)'!CZ8</f>
        <v>54028.789313511399</v>
      </c>
      <c r="DB5" s="97">
        <f>'TE Office (m)'!DA8</f>
        <v>54028.789313511399</v>
      </c>
      <c r="DC5" s="97">
        <f>'TE Office (m)'!DB8</f>
        <v>54028.789313511399</v>
      </c>
      <c r="DD5" s="97">
        <f>'TE Office (m)'!DC8</f>
        <v>54028.789313511399</v>
      </c>
      <c r="DE5" s="97">
        <f>'TE Office (m)'!DD8</f>
        <v>54028.789313511399</v>
      </c>
      <c r="DF5" s="97">
        <f>'TE Office (m)'!DE8</f>
        <v>54028.789313511399</v>
      </c>
      <c r="DG5" s="97">
        <f>'TE Office (m)'!DF8</f>
        <v>54028.789313511399</v>
      </c>
      <c r="DH5" s="97">
        <f>'TE Office (m)'!DG8</f>
        <v>54028.789313511399</v>
      </c>
      <c r="DI5" s="97">
        <f>'TE Office (m)'!DH8</f>
        <v>54028.789313511399</v>
      </c>
      <c r="DJ5" s="97">
        <f>'TE Office (m)'!DI8</f>
        <v>54028.789313511399</v>
      </c>
      <c r="DK5" s="97">
        <f>'TE Office (m)'!DJ8</f>
        <v>54028.789313511399</v>
      </c>
      <c r="DL5" s="97">
        <f>'TE Office (m)'!DK8</f>
        <v>54028.789313511399</v>
      </c>
      <c r="DM5" s="97">
        <f>'TE Office (m)'!DL8</f>
        <v>54028.789313511399</v>
      </c>
      <c r="DN5" s="97">
        <f>'TE Office (m)'!DM8</f>
        <v>54028.789313511399</v>
      </c>
      <c r="DO5" s="97">
        <f>'TE Office (m)'!DN8</f>
        <v>54028.789313511399</v>
      </c>
      <c r="DP5" s="97">
        <f>'TE Office (m)'!DO8</f>
        <v>54028.789313511399</v>
      </c>
      <c r="DQ5" s="97">
        <f>'TE Office (m)'!DP8</f>
        <v>54028.789313511399</v>
      </c>
      <c r="DR5" s="97">
        <f>'TE Office (m)'!DQ8</f>
        <v>54028.789313511399</v>
      </c>
      <c r="DS5" s="97">
        <f>'TE Office (m)'!DR8</f>
        <v>54028.789313511399</v>
      </c>
      <c r="DT5" s="97">
        <f>'TE Office (m)'!DS8</f>
        <v>54028.789313511399</v>
      </c>
      <c r="DU5" s="97">
        <f>'TE Office (m)'!DT8</f>
        <v>54028.789313511399</v>
      </c>
      <c r="DV5" s="97">
        <f>'TE Office (m)'!DU8</f>
        <v>54028.789313511399</v>
      </c>
      <c r="DW5" s="97">
        <f>'TE Office (m)'!DV8</f>
        <v>54028.789313511399</v>
      </c>
      <c r="DX5" s="97">
        <f>'TE Office (m)'!DW8</f>
        <v>54028.789313511399</v>
      </c>
      <c r="DY5" s="97">
        <f>'TE Office (m)'!DX8</f>
        <v>54028.789313511399</v>
      </c>
      <c r="DZ5" s="97">
        <f>'TE Office (m)'!DY8</f>
        <v>54028.789313511399</v>
      </c>
      <c r="EA5" s="97">
        <f>'TE Office (m)'!DZ8</f>
        <v>54028.789313511399</v>
      </c>
      <c r="EB5" s="97">
        <f>'TE Office (m)'!EA8</f>
        <v>54028.789313511399</v>
      </c>
      <c r="EC5" s="97">
        <f>'TE Office (m)'!EB8</f>
        <v>54028.789313511399</v>
      </c>
      <c r="ED5" s="97">
        <f>'TE Office (m)'!EC8</f>
        <v>54028.789313511399</v>
      </c>
      <c r="EE5" s="97">
        <f>'TE Office (m)'!ED8</f>
        <v>54028.789313511399</v>
      </c>
    </row>
    <row r="6" spans="2:135" ht="21" customHeight="1" x14ac:dyDescent="0.2">
      <c r="B6" s="47">
        <v>1021.86</v>
      </c>
      <c r="C6" s="22" t="s">
        <v>104</v>
      </c>
      <c r="D6" s="98">
        <v>936.54</v>
      </c>
      <c r="E6" s="98">
        <v>936.54</v>
      </c>
      <c r="F6" s="98">
        <v>936.54</v>
      </c>
      <c r="G6" s="98">
        <v>936.54</v>
      </c>
      <c r="H6" s="98">
        <v>936.54</v>
      </c>
      <c r="I6" s="98">
        <v>936.54</v>
      </c>
      <c r="J6" s="98">
        <v>936.54</v>
      </c>
      <c r="K6" s="98">
        <v>936.54</v>
      </c>
      <c r="L6" s="98">
        <v>936.54</v>
      </c>
      <c r="M6" s="98">
        <v>936.54</v>
      </c>
      <c r="N6" s="98">
        <v>936.54</v>
      </c>
      <c r="O6" s="98">
        <v>936.54</v>
      </c>
      <c r="P6" s="98">
        <v>936.54</v>
      </c>
      <c r="Q6" s="98">
        <v>936.54</v>
      </c>
      <c r="R6" s="98">
        <v>936.54</v>
      </c>
      <c r="S6" s="98">
        <v>936.54</v>
      </c>
      <c r="T6" s="98">
        <v>936.54</v>
      </c>
      <c r="U6" s="98">
        <v>936.54</v>
      </c>
      <c r="V6" s="98">
        <v>936.54</v>
      </c>
      <c r="W6" s="98">
        <v>936.54</v>
      </c>
      <c r="X6" s="98">
        <v>936.54</v>
      </c>
      <c r="Y6" s="98">
        <v>936.54</v>
      </c>
      <c r="Z6" s="98">
        <v>936.54</v>
      </c>
      <c r="AA6" s="98">
        <v>936.54</v>
      </c>
      <c r="AB6" s="98">
        <v>936.54</v>
      </c>
      <c r="AC6" s="98">
        <v>936.54</v>
      </c>
      <c r="AD6" s="98">
        <v>936.54</v>
      </c>
      <c r="AE6" s="98">
        <v>936.54</v>
      </c>
      <c r="AF6" s="98">
        <v>936.54</v>
      </c>
      <c r="AG6" s="98">
        <v>936.54</v>
      </c>
      <c r="AH6" s="98">
        <v>936.54</v>
      </c>
      <c r="AI6" s="98">
        <v>936.54</v>
      </c>
      <c r="AJ6" s="98">
        <v>936.54</v>
      </c>
      <c r="AK6" s="98">
        <v>936.54</v>
      </c>
      <c r="AL6" s="98">
        <v>936.54</v>
      </c>
      <c r="AM6" s="98">
        <v>936.54</v>
      </c>
      <c r="AN6" s="98">
        <v>936.54</v>
      </c>
      <c r="AO6" s="98">
        <v>936.54</v>
      </c>
      <c r="AP6" s="98">
        <v>936.54</v>
      </c>
      <c r="AQ6" s="98">
        <v>936.54</v>
      </c>
      <c r="AR6" s="98">
        <v>936.54</v>
      </c>
      <c r="AS6" s="98">
        <v>936.54</v>
      </c>
      <c r="AT6" s="98">
        <v>936.54</v>
      </c>
      <c r="AU6" s="98">
        <v>936.54</v>
      </c>
      <c r="AV6" s="98">
        <v>936.54</v>
      </c>
      <c r="AW6" s="98">
        <v>936.54</v>
      </c>
      <c r="AX6" s="98">
        <v>936.54</v>
      </c>
      <c r="AY6" s="98">
        <v>936.54</v>
      </c>
      <c r="AZ6" s="98">
        <v>936.54</v>
      </c>
      <c r="BA6" s="98">
        <v>936.54</v>
      </c>
      <c r="BB6" s="98">
        <v>936.54</v>
      </c>
      <c r="BC6" s="98">
        <v>936.54</v>
      </c>
      <c r="BD6" s="98">
        <v>936.54</v>
      </c>
      <c r="BE6" s="98">
        <v>936.54</v>
      </c>
      <c r="BF6" s="98">
        <v>936.54</v>
      </c>
      <c r="BG6" s="98">
        <v>936.54</v>
      </c>
      <c r="BH6" s="98">
        <v>936.54</v>
      </c>
      <c r="BI6" s="98">
        <v>936.54</v>
      </c>
      <c r="BJ6" s="98">
        <v>936.54</v>
      </c>
      <c r="BK6" s="98">
        <v>936.54</v>
      </c>
      <c r="BL6" s="98">
        <v>936.54</v>
      </c>
      <c r="BM6" s="98">
        <v>936.54</v>
      </c>
      <c r="BN6" s="98">
        <v>936.54</v>
      </c>
      <c r="BO6" s="98">
        <v>936.54</v>
      </c>
      <c r="BP6" s="98">
        <v>936.54</v>
      </c>
      <c r="BQ6" s="98">
        <v>936.54</v>
      </c>
      <c r="BR6" s="98">
        <v>936.54</v>
      </c>
      <c r="BS6" s="98">
        <v>936.54</v>
      </c>
      <c r="BT6" s="98">
        <v>936.54</v>
      </c>
      <c r="BU6" s="98">
        <v>936.54</v>
      </c>
      <c r="BV6" s="98">
        <v>936.54</v>
      </c>
      <c r="BW6" s="98">
        <v>936.54</v>
      </c>
      <c r="BX6" s="98">
        <v>936.54</v>
      </c>
      <c r="BY6" s="98">
        <v>936.54</v>
      </c>
      <c r="BZ6" s="98">
        <v>936.54</v>
      </c>
      <c r="CA6" s="98">
        <v>936.54</v>
      </c>
      <c r="CB6" s="98">
        <v>936.54</v>
      </c>
      <c r="CC6" s="98">
        <v>936.54</v>
      </c>
      <c r="CD6" s="98">
        <v>936.54</v>
      </c>
      <c r="CE6" s="98">
        <v>936.54</v>
      </c>
      <c r="CF6" s="98">
        <v>936.54</v>
      </c>
      <c r="CG6" s="98">
        <v>936.54</v>
      </c>
      <c r="CH6" s="98">
        <v>936.54</v>
      </c>
      <c r="CI6" s="98">
        <v>936.54</v>
      </c>
      <c r="CJ6" s="98">
        <v>936.54</v>
      </c>
      <c r="CK6" s="98">
        <v>936.54</v>
      </c>
      <c r="CL6" s="98">
        <v>936.54</v>
      </c>
      <c r="CM6" s="98">
        <v>936.54</v>
      </c>
      <c r="CN6" s="98">
        <v>936.54</v>
      </c>
      <c r="CO6" s="98">
        <v>936.54</v>
      </c>
      <c r="CP6" s="98">
        <v>936.54</v>
      </c>
      <c r="CQ6" s="98">
        <v>936.54</v>
      </c>
      <c r="CR6" s="98">
        <v>936.54</v>
      </c>
      <c r="CS6" s="98">
        <v>936.54</v>
      </c>
      <c r="CT6" s="98">
        <v>936.54</v>
      </c>
      <c r="CU6" s="98">
        <v>936.54</v>
      </c>
      <c r="CV6" s="98">
        <v>936.54</v>
      </c>
      <c r="CW6" s="98">
        <v>936.54</v>
      </c>
      <c r="CX6" s="98">
        <v>936.54</v>
      </c>
      <c r="CY6" s="98">
        <v>936.54</v>
      </c>
      <c r="CZ6" s="98">
        <v>936.54</v>
      </c>
      <c r="DA6" s="98">
        <v>936.54</v>
      </c>
      <c r="DB6" s="98">
        <v>936.54</v>
      </c>
      <c r="DC6" s="98">
        <v>936.54</v>
      </c>
      <c r="DD6" s="98">
        <v>936.54</v>
      </c>
      <c r="DE6" s="98">
        <v>936.54</v>
      </c>
      <c r="DF6" s="98">
        <v>936.54</v>
      </c>
      <c r="DG6" s="98">
        <v>936.54</v>
      </c>
      <c r="DH6" s="98">
        <v>936.54</v>
      </c>
      <c r="DI6" s="98">
        <v>936.54</v>
      </c>
      <c r="DJ6" s="98">
        <v>936.54</v>
      </c>
      <c r="DK6" s="98">
        <v>936.54</v>
      </c>
      <c r="DL6" s="98">
        <v>936.54</v>
      </c>
      <c r="DM6" s="98">
        <v>936.54</v>
      </c>
      <c r="DN6" s="98">
        <v>936.54</v>
      </c>
      <c r="DO6" s="98">
        <v>936.54</v>
      </c>
      <c r="DP6" s="98">
        <v>936.54</v>
      </c>
      <c r="DQ6" s="98">
        <v>936.54</v>
      </c>
      <c r="DR6" s="98">
        <v>936.54</v>
      </c>
      <c r="DS6" s="98">
        <v>936.54</v>
      </c>
      <c r="DT6" s="98">
        <v>936.54</v>
      </c>
      <c r="DU6" s="98">
        <v>936.54</v>
      </c>
      <c r="DV6" s="98">
        <v>936.54</v>
      </c>
      <c r="DW6" s="98">
        <v>936.54</v>
      </c>
      <c r="DX6" s="98">
        <v>936.54</v>
      </c>
      <c r="DY6" s="98">
        <v>936.54</v>
      </c>
      <c r="DZ6" s="98">
        <v>936.54</v>
      </c>
      <c r="EA6" s="98">
        <v>936.54</v>
      </c>
      <c r="EB6" s="98">
        <v>936.54</v>
      </c>
      <c r="EC6" s="98">
        <v>936.54</v>
      </c>
      <c r="ED6" s="98">
        <v>936.54</v>
      </c>
      <c r="EE6" s="98">
        <v>936.54</v>
      </c>
    </row>
    <row r="7" spans="2:135" ht="21" customHeight="1" x14ac:dyDescent="0.2">
      <c r="B7" s="47">
        <v>2912.71</v>
      </c>
      <c r="C7" s="22" t="s">
        <v>105</v>
      </c>
      <c r="D7" s="99">
        <v>2904.6</v>
      </c>
      <c r="E7" s="99">
        <v>2904.6</v>
      </c>
      <c r="F7" s="99">
        <v>2904.6</v>
      </c>
      <c r="G7" s="99">
        <v>2904.6</v>
      </c>
      <c r="H7" s="99">
        <v>2904.6</v>
      </c>
      <c r="I7" s="99">
        <v>2904.6</v>
      </c>
      <c r="J7" s="99">
        <v>2904.6</v>
      </c>
      <c r="K7" s="99">
        <v>2904.6</v>
      </c>
      <c r="L7" s="99">
        <v>2904.6</v>
      </c>
      <c r="M7" s="99">
        <v>2904.6</v>
      </c>
      <c r="N7" s="99">
        <v>2904.6</v>
      </c>
      <c r="O7" s="99">
        <v>2904.6</v>
      </c>
      <c r="P7" s="99">
        <v>2904.6</v>
      </c>
      <c r="Q7" s="99">
        <v>2904.6</v>
      </c>
      <c r="R7" s="99">
        <v>2904.6</v>
      </c>
      <c r="S7" s="99">
        <v>2904.6</v>
      </c>
      <c r="T7" s="99">
        <v>2904.6</v>
      </c>
      <c r="U7" s="99">
        <v>2904.6</v>
      </c>
      <c r="V7" s="99">
        <v>2904.6</v>
      </c>
      <c r="W7" s="99">
        <v>2904.6</v>
      </c>
      <c r="X7" s="99">
        <v>2904.6</v>
      </c>
      <c r="Y7" s="99">
        <v>2904.6</v>
      </c>
      <c r="Z7" s="99">
        <v>2904.6</v>
      </c>
      <c r="AA7" s="99">
        <v>2904.6</v>
      </c>
      <c r="AB7" s="99">
        <v>2904.6</v>
      </c>
      <c r="AC7" s="99">
        <v>2904.6</v>
      </c>
      <c r="AD7" s="99">
        <v>2904.6</v>
      </c>
      <c r="AE7" s="99">
        <v>2904.6</v>
      </c>
      <c r="AF7" s="99">
        <v>2904.6</v>
      </c>
      <c r="AG7" s="99">
        <v>2904.6</v>
      </c>
      <c r="AH7" s="99">
        <v>2904.6</v>
      </c>
      <c r="AI7" s="99">
        <v>2904.6</v>
      </c>
      <c r="AJ7" s="99">
        <v>2904.6</v>
      </c>
      <c r="AK7" s="99">
        <v>2904.6</v>
      </c>
      <c r="AL7" s="99">
        <v>2904.6</v>
      </c>
      <c r="AM7" s="99">
        <v>2904.6</v>
      </c>
      <c r="AN7" s="99">
        <v>2904.6</v>
      </c>
      <c r="AO7" s="99">
        <v>2904.6</v>
      </c>
      <c r="AP7" s="99">
        <v>2904.6</v>
      </c>
      <c r="AQ7" s="99">
        <v>2904.6</v>
      </c>
      <c r="AR7" s="99">
        <v>2904.6</v>
      </c>
      <c r="AS7" s="99">
        <v>2904.6</v>
      </c>
      <c r="AT7" s="99">
        <v>2904.6</v>
      </c>
      <c r="AU7" s="99">
        <v>2904.6</v>
      </c>
      <c r="AV7" s="99">
        <v>2904.6</v>
      </c>
      <c r="AW7" s="99">
        <v>2904.6</v>
      </c>
      <c r="AX7" s="99">
        <v>2904.6</v>
      </c>
      <c r="AY7" s="99">
        <v>2904.6</v>
      </c>
      <c r="AZ7" s="99">
        <v>2904.6</v>
      </c>
      <c r="BA7" s="99">
        <v>2904.6</v>
      </c>
      <c r="BB7" s="99">
        <v>2904.6</v>
      </c>
      <c r="BC7" s="99">
        <v>2904.6</v>
      </c>
      <c r="BD7" s="99">
        <v>2904.6</v>
      </c>
      <c r="BE7" s="99">
        <v>2904.6</v>
      </c>
      <c r="BF7" s="99">
        <v>2904.6</v>
      </c>
      <c r="BG7" s="99">
        <v>2904.6</v>
      </c>
      <c r="BH7" s="99">
        <v>2904.6</v>
      </c>
      <c r="BI7" s="99">
        <v>2904.6</v>
      </c>
      <c r="BJ7" s="99">
        <v>2904.6</v>
      </c>
      <c r="BK7" s="99">
        <v>2904.6</v>
      </c>
      <c r="BL7" s="99">
        <v>2904.6</v>
      </c>
      <c r="BM7" s="99">
        <v>2904.6</v>
      </c>
      <c r="BN7" s="99">
        <v>2904.6</v>
      </c>
      <c r="BO7" s="99">
        <v>2904.6</v>
      </c>
      <c r="BP7" s="99">
        <v>2904.6</v>
      </c>
      <c r="BQ7" s="99">
        <v>2904.6</v>
      </c>
      <c r="BR7" s="99">
        <v>2904.6</v>
      </c>
      <c r="BS7" s="99">
        <v>2904.6</v>
      </c>
      <c r="BT7" s="99">
        <v>2904.6</v>
      </c>
      <c r="BU7" s="99">
        <v>2904.6</v>
      </c>
      <c r="BV7" s="99">
        <v>2904.6</v>
      </c>
      <c r="BW7" s="99">
        <v>2904.6</v>
      </c>
      <c r="BX7" s="99">
        <v>2904.6</v>
      </c>
      <c r="BY7" s="99">
        <v>2904.6</v>
      </c>
      <c r="BZ7" s="99">
        <v>2904.6</v>
      </c>
      <c r="CA7" s="99">
        <v>2904.6</v>
      </c>
      <c r="CB7" s="99">
        <v>2904.6</v>
      </c>
      <c r="CC7" s="99">
        <v>2904.6</v>
      </c>
      <c r="CD7" s="99">
        <v>2904.6</v>
      </c>
      <c r="CE7" s="99">
        <v>2904.6</v>
      </c>
      <c r="CF7" s="99">
        <v>2904.6</v>
      </c>
      <c r="CG7" s="99">
        <v>2904.6</v>
      </c>
      <c r="CH7" s="99">
        <v>2904.6</v>
      </c>
      <c r="CI7" s="99">
        <v>2904.6</v>
      </c>
      <c r="CJ7" s="99">
        <v>2904.6</v>
      </c>
      <c r="CK7" s="99">
        <v>2904.6</v>
      </c>
      <c r="CL7" s="99">
        <v>2904.6</v>
      </c>
      <c r="CM7" s="99">
        <v>2904.6</v>
      </c>
      <c r="CN7" s="99">
        <v>2904.6</v>
      </c>
      <c r="CO7" s="99">
        <v>2904.6</v>
      </c>
      <c r="CP7" s="99">
        <v>2904.6</v>
      </c>
      <c r="CQ7" s="99">
        <v>2904.6</v>
      </c>
      <c r="CR7" s="99">
        <v>2904.6</v>
      </c>
      <c r="CS7" s="99">
        <v>2904.6</v>
      </c>
      <c r="CT7" s="99">
        <v>2904.6</v>
      </c>
      <c r="CU7" s="99">
        <v>2904.6</v>
      </c>
      <c r="CV7" s="99">
        <v>2904.6</v>
      </c>
      <c r="CW7" s="99">
        <v>2904.6</v>
      </c>
      <c r="CX7" s="99">
        <v>2904.6</v>
      </c>
      <c r="CY7" s="99">
        <v>2904.6</v>
      </c>
      <c r="CZ7" s="99">
        <v>2904.6</v>
      </c>
      <c r="DA7" s="99">
        <v>2904.6</v>
      </c>
      <c r="DB7" s="99">
        <v>2904.6</v>
      </c>
      <c r="DC7" s="99">
        <v>2904.6</v>
      </c>
      <c r="DD7" s="99">
        <v>2904.6</v>
      </c>
      <c r="DE7" s="99">
        <v>2904.6</v>
      </c>
      <c r="DF7" s="99">
        <v>2904.6</v>
      </c>
      <c r="DG7" s="99">
        <v>2904.6</v>
      </c>
      <c r="DH7" s="99">
        <v>2904.6</v>
      </c>
      <c r="DI7" s="99">
        <v>2904.6</v>
      </c>
      <c r="DJ7" s="99">
        <v>2904.6</v>
      </c>
      <c r="DK7" s="99">
        <v>2904.6</v>
      </c>
      <c r="DL7" s="99">
        <v>2904.6</v>
      </c>
      <c r="DM7" s="99">
        <v>2904.6</v>
      </c>
      <c r="DN7" s="99">
        <v>2904.6</v>
      </c>
      <c r="DO7" s="99">
        <v>2904.6</v>
      </c>
      <c r="DP7" s="99">
        <v>2904.6</v>
      </c>
      <c r="DQ7" s="99">
        <v>2904.6</v>
      </c>
      <c r="DR7" s="99">
        <v>2904.6</v>
      </c>
      <c r="DS7" s="99">
        <v>2904.6</v>
      </c>
      <c r="DT7" s="99">
        <v>2904.6</v>
      </c>
      <c r="DU7" s="99">
        <v>2904.6</v>
      </c>
      <c r="DV7" s="99">
        <v>2904.6</v>
      </c>
      <c r="DW7" s="99">
        <v>2904.6</v>
      </c>
      <c r="DX7" s="99">
        <v>2904.6</v>
      </c>
      <c r="DY7" s="99">
        <v>2904.6</v>
      </c>
      <c r="DZ7" s="99">
        <v>2904.6</v>
      </c>
      <c r="EA7" s="99">
        <v>2904.6</v>
      </c>
      <c r="EB7" s="99">
        <v>2904.6</v>
      </c>
      <c r="EC7" s="99">
        <v>2904.6</v>
      </c>
      <c r="ED7" s="99">
        <v>2904.6</v>
      </c>
      <c r="EE7" s="99">
        <v>2904.6</v>
      </c>
    </row>
    <row r="8" spans="2:135" s="23" customFormat="1" ht="21" customHeight="1" x14ac:dyDescent="0.2">
      <c r="B8" s="47">
        <v>1215.01</v>
      </c>
      <c r="C8" s="22" t="s">
        <v>106</v>
      </c>
      <c r="D8" s="99">
        <v>1215.01</v>
      </c>
      <c r="E8" s="99">
        <v>1215.01</v>
      </c>
      <c r="F8" s="99">
        <v>1215.01</v>
      </c>
      <c r="G8" s="99">
        <v>1215.01</v>
      </c>
      <c r="H8" s="99">
        <v>1215.01</v>
      </c>
      <c r="I8" s="99">
        <v>1215.01</v>
      </c>
      <c r="J8" s="99">
        <v>1215.01</v>
      </c>
      <c r="K8" s="99">
        <v>1215.01</v>
      </c>
      <c r="L8" s="99">
        <v>1215.01</v>
      </c>
      <c r="M8" s="99">
        <v>1215.01</v>
      </c>
      <c r="N8" s="99">
        <v>1215.01</v>
      </c>
      <c r="O8" s="99">
        <v>1215.01</v>
      </c>
      <c r="P8" s="99">
        <v>1215.01</v>
      </c>
      <c r="Q8" s="99">
        <v>1215.01</v>
      </c>
      <c r="R8" s="99">
        <v>1215.01</v>
      </c>
      <c r="S8" s="99">
        <v>1215.01</v>
      </c>
      <c r="T8" s="99">
        <v>1215.01</v>
      </c>
      <c r="U8" s="99">
        <v>1215.01</v>
      </c>
      <c r="V8" s="99">
        <v>1215.01</v>
      </c>
      <c r="W8" s="99">
        <v>1215.01</v>
      </c>
      <c r="X8" s="99">
        <v>1215.01</v>
      </c>
      <c r="Y8" s="99">
        <v>1215.01</v>
      </c>
      <c r="Z8" s="99">
        <v>1215.01</v>
      </c>
      <c r="AA8" s="99">
        <v>1215.01</v>
      </c>
      <c r="AB8" s="99">
        <v>1215.01</v>
      </c>
      <c r="AC8" s="99">
        <v>1215.01</v>
      </c>
      <c r="AD8" s="99">
        <v>1215.01</v>
      </c>
      <c r="AE8" s="99">
        <v>1215.01</v>
      </c>
      <c r="AF8" s="99">
        <v>1215.01</v>
      </c>
      <c r="AG8" s="99">
        <v>1215.01</v>
      </c>
      <c r="AH8" s="99">
        <v>1215.01</v>
      </c>
      <c r="AI8" s="99">
        <v>1215.01</v>
      </c>
      <c r="AJ8" s="99">
        <v>1215.01</v>
      </c>
      <c r="AK8" s="99">
        <v>1215.01</v>
      </c>
      <c r="AL8" s="99">
        <v>1215.01</v>
      </c>
      <c r="AM8" s="99">
        <v>1215.01</v>
      </c>
      <c r="AN8" s="99">
        <v>1215.01</v>
      </c>
      <c r="AO8" s="99">
        <v>1215.01</v>
      </c>
      <c r="AP8" s="99">
        <v>1215.01</v>
      </c>
      <c r="AQ8" s="99">
        <v>1215.01</v>
      </c>
      <c r="AR8" s="99">
        <v>1215.01</v>
      </c>
      <c r="AS8" s="99">
        <v>1215.01</v>
      </c>
      <c r="AT8" s="99">
        <v>1215.01</v>
      </c>
      <c r="AU8" s="99">
        <v>1215.01</v>
      </c>
      <c r="AV8" s="99">
        <v>1215.01</v>
      </c>
      <c r="AW8" s="99">
        <v>1215.01</v>
      </c>
      <c r="AX8" s="99">
        <v>1215.01</v>
      </c>
      <c r="AY8" s="99">
        <v>1215.01</v>
      </c>
      <c r="AZ8" s="99">
        <v>1215.01</v>
      </c>
      <c r="BA8" s="99">
        <v>1215.01</v>
      </c>
      <c r="BB8" s="99">
        <v>1215.01</v>
      </c>
      <c r="BC8" s="99">
        <v>1215.01</v>
      </c>
      <c r="BD8" s="99">
        <v>1215.01</v>
      </c>
      <c r="BE8" s="99">
        <v>1215.01</v>
      </c>
      <c r="BF8" s="99">
        <v>1215.01</v>
      </c>
      <c r="BG8" s="99">
        <v>1215.01</v>
      </c>
      <c r="BH8" s="99">
        <v>1215.01</v>
      </c>
      <c r="BI8" s="99">
        <v>1215.01</v>
      </c>
      <c r="BJ8" s="99">
        <v>1215.01</v>
      </c>
      <c r="BK8" s="99">
        <v>1215.01</v>
      </c>
      <c r="BL8" s="99">
        <v>1215.01</v>
      </c>
      <c r="BM8" s="99">
        <v>1215.01</v>
      </c>
      <c r="BN8" s="99">
        <v>1215.01</v>
      </c>
      <c r="BO8" s="99">
        <v>1215.01</v>
      </c>
      <c r="BP8" s="99">
        <v>1215.01</v>
      </c>
      <c r="BQ8" s="99">
        <v>1215.01</v>
      </c>
      <c r="BR8" s="99">
        <v>1215.01</v>
      </c>
      <c r="BS8" s="99">
        <v>1215.01</v>
      </c>
      <c r="BT8" s="99">
        <v>1215.01</v>
      </c>
      <c r="BU8" s="99">
        <v>1215.01</v>
      </c>
      <c r="BV8" s="99">
        <v>1215.01</v>
      </c>
      <c r="BW8" s="99">
        <v>1215.01</v>
      </c>
      <c r="BX8" s="99">
        <v>1215.01</v>
      </c>
      <c r="BY8" s="99">
        <v>1215.01</v>
      </c>
      <c r="BZ8" s="99">
        <v>1215.01</v>
      </c>
      <c r="CA8" s="99">
        <v>1215.01</v>
      </c>
      <c r="CB8" s="99">
        <v>1215.01</v>
      </c>
      <c r="CC8" s="99">
        <v>1215.01</v>
      </c>
      <c r="CD8" s="99">
        <v>1215.01</v>
      </c>
      <c r="CE8" s="99">
        <v>1215.01</v>
      </c>
      <c r="CF8" s="99">
        <v>1215.01</v>
      </c>
      <c r="CG8" s="99">
        <v>1215.01</v>
      </c>
      <c r="CH8" s="99">
        <v>1215.01</v>
      </c>
      <c r="CI8" s="99">
        <v>1215.01</v>
      </c>
      <c r="CJ8" s="99">
        <v>1215.01</v>
      </c>
      <c r="CK8" s="99">
        <v>1215.01</v>
      </c>
      <c r="CL8" s="99">
        <v>1215.01</v>
      </c>
      <c r="CM8" s="99">
        <v>1215.01</v>
      </c>
      <c r="CN8" s="99">
        <v>1215.01</v>
      </c>
      <c r="CO8" s="99">
        <v>1215.01</v>
      </c>
      <c r="CP8" s="99">
        <v>1215.01</v>
      </c>
      <c r="CQ8" s="99">
        <v>1215.01</v>
      </c>
      <c r="CR8" s="99">
        <v>1215.01</v>
      </c>
      <c r="CS8" s="99">
        <v>1215.01</v>
      </c>
      <c r="CT8" s="99">
        <v>1215.01</v>
      </c>
      <c r="CU8" s="99">
        <v>1215.01</v>
      </c>
      <c r="CV8" s="99">
        <v>1215.01</v>
      </c>
      <c r="CW8" s="99">
        <v>1215.01</v>
      </c>
      <c r="CX8" s="99">
        <v>1215.01</v>
      </c>
      <c r="CY8" s="99">
        <v>1215.01</v>
      </c>
      <c r="CZ8" s="99">
        <v>1215.01</v>
      </c>
      <c r="DA8" s="99">
        <v>1215.01</v>
      </c>
      <c r="DB8" s="99">
        <v>1215.01</v>
      </c>
      <c r="DC8" s="99">
        <v>1215.01</v>
      </c>
      <c r="DD8" s="99">
        <v>1215.01</v>
      </c>
      <c r="DE8" s="99">
        <v>1215.01</v>
      </c>
      <c r="DF8" s="99">
        <v>1215.01</v>
      </c>
      <c r="DG8" s="99">
        <v>1215.01</v>
      </c>
      <c r="DH8" s="99">
        <v>1215.01</v>
      </c>
      <c r="DI8" s="99">
        <v>1215.01</v>
      </c>
      <c r="DJ8" s="99">
        <v>1215.01</v>
      </c>
      <c r="DK8" s="99">
        <v>1215.01</v>
      </c>
      <c r="DL8" s="99">
        <v>1215.01</v>
      </c>
      <c r="DM8" s="99">
        <v>1215.01</v>
      </c>
      <c r="DN8" s="99">
        <v>1215.01</v>
      </c>
      <c r="DO8" s="99">
        <v>1215.01</v>
      </c>
      <c r="DP8" s="99">
        <v>1215.01</v>
      </c>
      <c r="DQ8" s="99">
        <v>1215.01</v>
      </c>
      <c r="DR8" s="99">
        <v>1215.01</v>
      </c>
      <c r="DS8" s="99">
        <v>1215.01</v>
      </c>
      <c r="DT8" s="99">
        <v>1215.01</v>
      </c>
      <c r="DU8" s="99">
        <v>1215.01</v>
      </c>
      <c r="DV8" s="99">
        <v>1215.01</v>
      </c>
      <c r="DW8" s="99">
        <v>1215.01</v>
      </c>
      <c r="DX8" s="99">
        <v>1215.01</v>
      </c>
      <c r="DY8" s="99">
        <v>1215.01</v>
      </c>
      <c r="DZ8" s="99">
        <v>1215.01</v>
      </c>
      <c r="EA8" s="99">
        <v>1215.01</v>
      </c>
      <c r="EB8" s="99">
        <v>1215.01</v>
      </c>
      <c r="EC8" s="99">
        <v>1215.01</v>
      </c>
      <c r="ED8" s="99">
        <v>1215.01</v>
      </c>
      <c r="EE8" s="99">
        <v>1215.01</v>
      </c>
    </row>
    <row r="9" spans="2:135" ht="21" customHeight="1" x14ac:dyDescent="0.2">
      <c r="B9" s="109">
        <f>SUM(B5:B8)</f>
        <v>65606.3</v>
      </c>
      <c r="C9" s="22" t="s">
        <v>67</v>
      </c>
      <c r="D9" s="104">
        <f>SUM(D5:D8)</f>
        <v>49984.965342773256</v>
      </c>
      <c r="E9" s="104">
        <f t="shared" ref="E9:BP9" si="0">SUM(E5:E8)</f>
        <v>49984.965342773256</v>
      </c>
      <c r="F9" s="104">
        <f t="shared" si="0"/>
        <v>49733.120832326014</v>
      </c>
      <c r="G9" s="104">
        <f t="shared" si="0"/>
        <v>49733.120832326014</v>
      </c>
      <c r="H9" s="104">
        <f t="shared" si="0"/>
        <v>49870.790832326013</v>
      </c>
      <c r="I9" s="104">
        <f t="shared" si="0"/>
        <v>49870.790832326013</v>
      </c>
      <c r="J9" s="104">
        <f t="shared" si="0"/>
        <v>54724.128276055315</v>
      </c>
      <c r="K9" s="104">
        <f t="shared" si="0"/>
        <v>56284.938276055313</v>
      </c>
      <c r="L9" s="104">
        <f t="shared" si="0"/>
        <v>56284.938276055313</v>
      </c>
      <c r="M9" s="104">
        <f t="shared" si="0"/>
        <v>57514.99827605531</v>
      </c>
      <c r="N9" s="104">
        <f t="shared" si="0"/>
        <v>57087.628276055315</v>
      </c>
      <c r="O9" s="104">
        <f t="shared" si="0"/>
        <v>57576.278276055316</v>
      </c>
      <c r="P9" s="104">
        <f t="shared" si="0"/>
        <v>58497.208276055309</v>
      </c>
      <c r="Q9" s="104">
        <f t="shared" si="0"/>
        <v>58459.798276055306</v>
      </c>
      <c r="R9" s="104">
        <f t="shared" si="0"/>
        <v>58459.798276055306</v>
      </c>
      <c r="S9" s="104">
        <f t="shared" si="0"/>
        <v>58729.528276055309</v>
      </c>
      <c r="T9" s="104">
        <f t="shared" si="0"/>
        <v>58729.528276055309</v>
      </c>
      <c r="U9" s="104">
        <f t="shared" si="0"/>
        <v>58729.528276055309</v>
      </c>
      <c r="V9" s="104">
        <f t="shared" si="0"/>
        <v>59001.608276055311</v>
      </c>
      <c r="W9" s="104">
        <f t="shared" si="0"/>
        <v>59001.608276055311</v>
      </c>
      <c r="X9" s="104">
        <f t="shared" si="0"/>
        <v>59001.608276055311</v>
      </c>
      <c r="Y9" s="104">
        <f t="shared" si="0"/>
        <v>59001.608276055311</v>
      </c>
      <c r="Z9" s="104">
        <f t="shared" si="0"/>
        <v>59001.608276055311</v>
      </c>
      <c r="AA9" s="104">
        <f t="shared" si="0"/>
        <v>59001.608276055311</v>
      </c>
      <c r="AB9" s="104">
        <f t="shared" si="0"/>
        <v>59001.608276055311</v>
      </c>
      <c r="AC9" s="104">
        <f t="shared" si="0"/>
        <v>59001.608276055311</v>
      </c>
      <c r="AD9" s="104">
        <f t="shared" si="0"/>
        <v>59001.608276055311</v>
      </c>
      <c r="AE9" s="104">
        <f t="shared" si="0"/>
        <v>59001.608276055311</v>
      </c>
      <c r="AF9" s="104">
        <f t="shared" si="0"/>
        <v>58694.688276055313</v>
      </c>
      <c r="AG9" s="104">
        <f t="shared" si="0"/>
        <v>58694.688276055313</v>
      </c>
      <c r="AH9" s="104">
        <f t="shared" si="0"/>
        <v>58694.688276055313</v>
      </c>
      <c r="AI9" s="104">
        <f t="shared" si="0"/>
        <v>58694.688276055313</v>
      </c>
      <c r="AJ9" s="104">
        <f t="shared" si="0"/>
        <v>58694.688276055313</v>
      </c>
      <c r="AK9" s="104">
        <f t="shared" si="0"/>
        <v>58694.688276055313</v>
      </c>
      <c r="AL9" s="104">
        <f t="shared" si="0"/>
        <v>58696.688276055313</v>
      </c>
      <c r="AM9" s="104">
        <f t="shared" si="0"/>
        <v>58696.688276055313</v>
      </c>
      <c r="AN9" s="104">
        <f t="shared" si="0"/>
        <v>58696.688276055313</v>
      </c>
      <c r="AO9" s="104">
        <f t="shared" si="0"/>
        <v>58696.688276055313</v>
      </c>
      <c r="AP9" s="104">
        <f t="shared" si="0"/>
        <v>58696.688276055313</v>
      </c>
      <c r="AQ9" s="104">
        <f t="shared" si="0"/>
        <v>58696.688276055313</v>
      </c>
      <c r="AR9" s="104">
        <f t="shared" si="0"/>
        <v>58559.018276055307</v>
      </c>
      <c r="AS9" s="104">
        <f t="shared" si="0"/>
        <v>58559.018276055307</v>
      </c>
      <c r="AT9" s="104">
        <f t="shared" si="0"/>
        <v>58423.038276055304</v>
      </c>
      <c r="AU9" s="104">
        <f t="shared" si="0"/>
        <v>58423.038276055304</v>
      </c>
      <c r="AV9" s="104">
        <f t="shared" si="0"/>
        <v>58423.038276055304</v>
      </c>
      <c r="AW9" s="104">
        <f t="shared" si="0"/>
        <v>58423.038276055304</v>
      </c>
      <c r="AX9" s="104">
        <f t="shared" si="0"/>
        <v>58423.038276055304</v>
      </c>
      <c r="AY9" s="104">
        <f t="shared" si="0"/>
        <v>58423.038276055304</v>
      </c>
      <c r="AZ9" s="104">
        <f t="shared" si="0"/>
        <v>58848.049108381325</v>
      </c>
      <c r="BA9" s="104">
        <f t="shared" si="0"/>
        <v>58848.049108381325</v>
      </c>
      <c r="BB9" s="104">
        <f t="shared" si="0"/>
        <v>58848.049108381325</v>
      </c>
      <c r="BC9" s="104">
        <f t="shared" si="0"/>
        <v>58848.049108381325</v>
      </c>
      <c r="BD9" s="104">
        <f t="shared" si="0"/>
        <v>58848.049108381325</v>
      </c>
      <c r="BE9" s="104">
        <f t="shared" si="0"/>
        <v>58848.049108381325</v>
      </c>
      <c r="BF9" s="104">
        <f t="shared" si="0"/>
        <v>58848.049108381325</v>
      </c>
      <c r="BG9" s="104">
        <f t="shared" si="0"/>
        <v>58848.049108381325</v>
      </c>
      <c r="BH9" s="104">
        <f t="shared" si="0"/>
        <v>55752.599108381328</v>
      </c>
      <c r="BI9" s="104">
        <f t="shared" si="0"/>
        <v>55752.599108381328</v>
      </c>
      <c r="BJ9" s="104">
        <f t="shared" si="0"/>
        <v>55752.599108381328</v>
      </c>
      <c r="BK9" s="104">
        <f t="shared" si="0"/>
        <v>55752.599108381328</v>
      </c>
      <c r="BL9" s="104">
        <f t="shared" si="0"/>
        <v>57962.119313511394</v>
      </c>
      <c r="BM9" s="104">
        <f t="shared" si="0"/>
        <v>57962.119313511394</v>
      </c>
      <c r="BN9" s="104">
        <f t="shared" si="0"/>
        <v>57962.119313511394</v>
      </c>
      <c r="BO9" s="104">
        <f t="shared" si="0"/>
        <v>57962.119313511394</v>
      </c>
      <c r="BP9" s="104">
        <f t="shared" si="0"/>
        <v>57962.119313511394</v>
      </c>
      <c r="BQ9" s="104">
        <f t="shared" ref="BQ9:EB9" si="1">SUM(BQ5:BQ8)</f>
        <v>57962.119313511394</v>
      </c>
      <c r="BR9" s="104">
        <f t="shared" si="1"/>
        <v>57962.119313511394</v>
      </c>
      <c r="BS9" s="104">
        <f t="shared" si="1"/>
        <v>57962.119313511394</v>
      </c>
      <c r="BT9" s="104">
        <f t="shared" si="1"/>
        <v>57962.119313511394</v>
      </c>
      <c r="BU9" s="104">
        <f t="shared" si="1"/>
        <v>57962.119313511394</v>
      </c>
      <c r="BV9" s="104">
        <f t="shared" si="1"/>
        <v>57962.119313511394</v>
      </c>
      <c r="BW9" s="104">
        <f t="shared" si="1"/>
        <v>57962.119313511394</v>
      </c>
      <c r="BX9" s="104">
        <f t="shared" si="1"/>
        <v>58745.529313511397</v>
      </c>
      <c r="BY9" s="104">
        <f t="shared" si="1"/>
        <v>58745.529313511397</v>
      </c>
      <c r="BZ9" s="104">
        <f t="shared" si="1"/>
        <v>58745.529313511397</v>
      </c>
      <c r="CA9" s="104">
        <f t="shared" si="1"/>
        <v>58458.189313511401</v>
      </c>
      <c r="CB9" s="104">
        <f t="shared" si="1"/>
        <v>58733.519313511402</v>
      </c>
      <c r="CC9" s="104">
        <f t="shared" si="1"/>
        <v>58733.519313511402</v>
      </c>
      <c r="CD9" s="104">
        <f t="shared" si="1"/>
        <v>59005.599313511404</v>
      </c>
      <c r="CE9" s="104">
        <f t="shared" si="1"/>
        <v>58730.269313511402</v>
      </c>
      <c r="CF9" s="104">
        <f t="shared" si="1"/>
        <v>58730.269313511402</v>
      </c>
      <c r="CG9" s="104">
        <f t="shared" si="1"/>
        <v>58592.749313511405</v>
      </c>
      <c r="CH9" s="104">
        <f t="shared" si="1"/>
        <v>58592.749313511405</v>
      </c>
      <c r="CI9" s="104">
        <f t="shared" si="1"/>
        <v>58592.749313511405</v>
      </c>
      <c r="CJ9" s="104">
        <f t="shared" si="1"/>
        <v>57537.2593135114</v>
      </c>
      <c r="CK9" s="104">
        <f t="shared" si="1"/>
        <v>57537.2593135114</v>
      </c>
      <c r="CL9" s="104">
        <f t="shared" si="1"/>
        <v>57537.2593135114</v>
      </c>
      <c r="CM9" s="104">
        <f t="shared" si="1"/>
        <v>57537.2593135114</v>
      </c>
      <c r="CN9" s="104">
        <f t="shared" si="1"/>
        <v>57537.2593135114</v>
      </c>
      <c r="CO9" s="104">
        <f t="shared" si="1"/>
        <v>57537.2593135114</v>
      </c>
      <c r="CP9" s="104">
        <f t="shared" si="1"/>
        <v>59084.939313511401</v>
      </c>
      <c r="CQ9" s="104">
        <f t="shared" si="1"/>
        <v>59084.939313511401</v>
      </c>
      <c r="CR9" s="104">
        <f t="shared" si="1"/>
        <v>59084.939313511401</v>
      </c>
      <c r="CS9" s="104">
        <f t="shared" si="1"/>
        <v>59084.939313511401</v>
      </c>
      <c r="CT9" s="104">
        <f t="shared" si="1"/>
        <v>59084.939313511401</v>
      </c>
      <c r="CU9" s="104">
        <f t="shared" si="1"/>
        <v>59084.939313511401</v>
      </c>
      <c r="CV9" s="104">
        <f t="shared" si="1"/>
        <v>59084.939313511401</v>
      </c>
      <c r="CW9" s="104">
        <f t="shared" si="1"/>
        <v>59084.939313511401</v>
      </c>
      <c r="CX9" s="104">
        <f t="shared" si="1"/>
        <v>59084.939313511401</v>
      </c>
      <c r="CY9" s="104">
        <f t="shared" si="1"/>
        <v>59084.939313511401</v>
      </c>
      <c r="CZ9" s="104">
        <f t="shared" si="1"/>
        <v>59084.939313511401</v>
      </c>
      <c r="DA9" s="104">
        <f t="shared" si="1"/>
        <v>59084.939313511401</v>
      </c>
      <c r="DB9" s="104">
        <f t="shared" si="1"/>
        <v>59084.939313511401</v>
      </c>
      <c r="DC9" s="104">
        <f t="shared" si="1"/>
        <v>59084.939313511401</v>
      </c>
      <c r="DD9" s="104">
        <f t="shared" si="1"/>
        <v>59084.939313511401</v>
      </c>
      <c r="DE9" s="104">
        <f t="shared" si="1"/>
        <v>59084.939313511401</v>
      </c>
      <c r="DF9" s="104">
        <f t="shared" si="1"/>
        <v>59084.939313511401</v>
      </c>
      <c r="DG9" s="104">
        <f t="shared" si="1"/>
        <v>59084.939313511401</v>
      </c>
      <c r="DH9" s="104">
        <f t="shared" si="1"/>
        <v>59084.939313511401</v>
      </c>
      <c r="DI9" s="104">
        <f t="shared" si="1"/>
        <v>59084.939313511401</v>
      </c>
      <c r="DJ9" s="104">
        <f t="shared" si="1"/>
        <v>59084.939313511401</v>
      </c>
      <c r="DK9" s="104">
        <f t="shared" si="1"/>
        <v>59084.939313511401</v>
      </c>
      <c r="DL9" s="104">
        <f t="shared" si="1"/>
        <v>59084.939313511401</v>
      </c>
      <c r="DM9" s="104">
        <f t="shared" si="1"/>
        <v>59084.939313511401</v>
      </c>
      <c r="DN9" s="104">
        <f t="shared" si="1"/>
        <v>59084.939313511401</v>
      </c>
      <c r="DO9" s="104">
        <f t="shared" si="1"/>
        <v>59084.939313511401</v>
      </c>
      <c r="DP9" s="104">
        <f t="shared" si="1"/>
        <v>59084.939313511401</v>
      </c>
      <c r="DQ9" s="104">
        <f t="shared" si="1"/>
        <v>59084.939313511401</v>
      </c>
      <c r="DR9" s="104">
        <f t="shared" si="1"/>
        <v>59084.939313511401</v>
      </c>
      <c r="DS9" s="104">
        <f t="shared" si="1"/>
        <v>59084.939313511401</v>
      </c>
      <c r="DT9" s="104">
        <f t="shared" si="1"/>
        <v>59084.939313511401</v>
      </c>
      <c r="DU9" s="104">
        <f t="shared" si="1"/>
        <v>59084.939313511401</v>
      </c>
      <c r="DV9" s="104">
        <f t="shared" si="1"/>
        <v>59084.939313511401</v>
      </c>
      <c r="DW9" s="104">
        <f t="shared" si="1"/>
        <v>59084.939313511401</v>
      </c>
      <c r="DX9" s="104">
        <f t="shared" si="1"/>
        <v>59084.939313511401</v>
      </c>
      <c r="DY9" s="104">
        <f t="shared" si="1"/>
        <v>59084.939313511401</v>
      </c>
      <c r="DZ9" s="104">
        <f t="shared" si="1"/>
        <v>59084.939313511401</v>
      </c>
      <c r="EA9" s="104">
        <f t="shared" si="1"/>
        <v>59084.939313511401</v>
      </c>
      <c r="EB9" s="104">
        <f t="shared" si="1"/>
        <v>59084.939313511401</v>
      </c>
      <c r="EC9" s="104">
        <f t="shared" ref="EC9:EE9" si="2">SUM(EC5:EC8)</f>
        <v>59084.939313511401</v>
      </c>
      <c r="ED9" s="104">
        <f t="shared" si="2"/>
        <v>59084.939313511401</v>
      </c>
      <c r="EE9" s="104">
        <f t="shared" si="2"/>
        <v>59084.939313511401</v>
      </c>
    </row>
    <row r="10" spans="2:135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</row>
    <row r="11" spans="2:135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35" ht="21" customHeight="1" x14ac:dyDescent="0.2">
      <c r="E12" s="74"/>
    </row>
    <row r="13" spans="2:135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35" s="6" customFormat="1" ht="21" customHeight="1" x14ac:dyDescent="0.2">
      <c r="C14" s="22" t="s">
        <v>64</v>
      </c>
      <c r="D14" s="95">
        <v>44927</v>
      </c>
      <c r="E14" s="95">
        <v>44958</v>
      </c>
      <c r="F14" s="95">
        <v>44986</v>
      </c>
      <c r="G14" s="95">
        <v>45017</v>
      </c>
      <c r="H14" s="95">
        <v>45047</v>
      </c>
      <c r="I14" s="95">
        <v>45078</v>
      </c>
      <c r="J14" s="95">
        <v>45108</v>
      </c>
      <c r="K14" s="95">
        <v>45139</v>
      </c>
      <c r="L14" s="95">
        <v>45170</v>
      </c>
      <c r="M14" s="95">
        <v>45200</v>
      </c>
      <c r="N14" s="95">
        <v>45231</v>
      </c>
      <c r="O14" s="95">
        <v>45261</v>
      </c>
      <c r="P14" s="95">
        <v>45292</v>
      </c>
      <c r="Q14" s="95">
        <v>45323</v>
      </c>
      <c r="R14" s="95">
        <v>45352</v>
      </c>
      <c r="S14" s="95">
        <v>45383</v>
      </c>
      <c r="T14" s="95">
        <v>45413</v>
      </c>
      <c r="U14" s="95">
        <v>45444</v>
      </c>
      <c r="V14" s="95">
        <v>45474</v>
      </c>
      <c r="W14" s="95">
        <v>45505</v>
      </c>
      <c r="X14" s="95">
        <v>45536</v>
      </c>
      <c r="Y14" s="95">
        <v>45566</v>
      </c>
      <c r="Z14" s="95">
        <v>45597</v>
      </c>
      <c r="AA14" s="95">
        <v>45627</v>
      </c>
      <c r="AB14" s="95">
        <v>45658</v>
      </c>
      <c r="AC14" s="95">
        <v>45689</v>
      </c>
      <c r="AD14" s="95">
        <v>45717</v>
      </c>
      <c r="AE14" s="95">
        <v>45748</v>
      </c>
      <c r="AF14" s="95">
        <v>45778</v>
      </c>
      <c r="AG14" s="95">
        <v>45809</v>
      </c>
      <c r="AH14" s="95">
        <v>45839</v>
      </c>
      <c r="AI14" s="95">
        <v>45870</v>
      </c>
      <c r="AJ14" s="95">
        <v>45901</v>
      </c>
      <c r="AK14" s="95">
        <v>45931</v>
      </c>
      <c r="AL14" s="95">
        <v>45962</v>
      </c>
      <c r="AM14" s="95">
        <v>45992</v>
      </c>
      <c r="AN14" s="95">
        <v>46023</v>
      </c>
      <c r="AO14" s="95">
        <v>46054</v>
      </c>
      <c r="AP14" s="95">
        <v>46082</v>
      </c>
      <c r="AQ14" s="95">
        <v>46113</v>
      </c>
      <c r="AR14" s="95">
        <v>46143</v>
      </c>
      <c r="AS14" s="95">
        <v>46174</v>
      </c>
      <c r="AT14" s="95">
        <v>46204</v>
      </c>
      <c r="AU14" s="95">
        <v>46235</v>
      </c>
      <c r="AV14" s="95">
        <v>46266</v>
      </c>
      <c r="AW14" s="95">
        <v>46296</v>
      </c>
      <c r="AX14" s="95">
        <v>46327</v>
      </c>
      <c r="AY14" s="95">
        <v>46357</v>
      </c>
      <c r="AZ14" s="95">
        <v>46388</v>
      </c>
      <c r="BA14" s="95">
        <v>46419</v>
      </c>
      <c r="BB14" s="95">
        <v>46447</v>
      </c>
      <c r="BC14" s="95">
        <v>46478</v>
      </c>
      <c r="BD14" s="95">
        <v>46508</v>
      </c>
      <c r="BE14" s="95">
        <v>46539</v>
      </c>
      <c r="BF14" s="95">
        <v>46569</v>
      </c>
      <c r="BG14" s="95">
        <v>46600</v>
      </c>
      <c r="BH14" s="95">
        <v>46631</v>
      </c>
      <c r="BI14" s="95">
        <v>46661</v>
      </c>
      <c r="BJ14" s="95">
        <v>46692</v>
      </c>
      <c r="BK14" s="95">
        <v>46722</v>
      </c>
      <c r="BL14" s="95">
        <v>46753</v>
      </c>
      <c r="BM14" s="95">
        <v>46784</v>
      </c>
      <c r="BN14" s="95">
        <v>46813</v>
      </c>
      <c r="BO14" s="95">
        <v>46844</v>
      </c>
      <c r="BP14" s="95">
        <v>46874</v>
      </c>
      <c r="BQ14" s="95">
        <v>46905</v>
      </c>
      <c r="BR14" s="95">
        <v>46935</v>
      </c>
      <c r="BS14" s="95">
        <v>46966</v>
      </c>
      <c r="BT14" s="95">
        <v>46997</v>
      </c>
      <c r="BU14" s="95">
        <v>47027</v>
      </c>
      <c r="BV14" s="95">
        <v>47058</v>
      </c>
      <c r="BW14" s="95">
        <v>47088</v>
      </c>
      <c r="BX14" s="95">
        <v>47119</v>
      </c>
      <c r="BY14" s="95">
        <v>47150</v>
      </c>
      <c r="BZ14" s="95">
        <v>47178</v>
      </c>
      <c r="CA14" s="95">
        <v>47209</v>
      </c>
      <c r="CB14" s="95">
        <v>47239</v>
      </c>
      <c r="CC14" s="95">
        <v>47270</v>
      </c>
      <c r="CD14" s="95">
        <v>47300</v>
      </c>
      <c r="CE14" s="95">
        <v>47331</v>
      </c>
      <c r="CF14" s="95">
        <v>47362</v>
      </c>
      <c r="CG14" s="95">
        <v>47392</v>
      </c>
      <c r="CH14" s="95">
        <v>47423</v>
      </c>
      <c r="CI14" s="95">
        <v>47453</v>
      </c>
      <c r="CJ14" s="95">
        <v>47484</v>
      </c>
      <c r="CK14" s="95">
        <v>47515</v>
      </c>
      <c r="CL14" s="95">
        <v>47543</v>
      </c>
      <c r="CM14" s="95">
        <v>47574</v>
      </c>
      <c r="CN14" s="95">
        <v>47604</v>
      </c>
      <c r="CO14" s="95">
        <v>47635</v>
      </c>
      <c r="CP14" s="95">
        <v>47665</v>
      </c>
      <c r="CQ14" s="95">
        <v>47696</v>
      </c>
      <c r="CR14" s="95">
        <v>47727</v>
      </c>
      <c r="CS14" s="95">
        <v>47757</v>
      </c>
      <c r="CT14" s="95">
        <v>47788</v>
      </c>
      <c r="CU14" s="95">
        <v>47818</v>
      </c>
      <c r="CV14" s="95">
        <v>47849</v>
      </c>
      <c r="CW14" s="95">
        <v>47880</v>
      </c>
      <c r="CX14" s="95">
        <v>47908</v>
      </c>
      <c r="CY14" s="95">
        <v>47939</v>
      </c>
      <c r="CZ14" s="95">
        <v>47969</v>
      </c>
      <c r="DA14" s="95">
        <v>48000</v>
      </c>
      <c r="DB14" s="95">
        <v>48030</v>
      </c>
      <c r="DC14" s="95">
        <v>48061</v>
      </c>
      <c r="DD14" s="95">
        <v>48092</v>
      </c>
      <c r="DE14" s="95">
        <v>48122</v>
      </c>
      <c r="DF14" s="95">
        <v>48153</v>
      </c>
      <c r="DG14" s="95">
        <v>48183</v>
      </c>
      <c r="DH14" s="95">
        <v>48214</v>
      </c>
      <c r="DI14" s="95">
        <v>48245</v>
      </c>
      <c r="DJ14" s="95">
        <v>48274</v>
      </c>
      <c r="DK14" s="95">
        <v>48305</v>
      </c>
      <c r="DL14" s="95">
        <v>48335</v>
      </c>
      <c r="DM14" s="95">
        <v>48366</v>
      </c>
      <c r="DN14" s="95">
        <v>48396</v>
      </c>
      <c r="DO14" s="95">
        <v>48427</v>
      </c>
      <c r="DP14" s="95">
        <v>48458</v>
      </c>
      <c r="DQ14" s="95">
        <v>48488</v>
      </c>
      <c r="DR14" s="95">
        <v>48519</v>
      </c>
      <c r="DS14" s="95">
        <v>48549</v>
      </c>
      <c r="DT14" s="95">
        <v>48580</v>
      </c>
      <c r="DU14" s="95">
        <v>48611</v>
      </c>
      <c r="DV14" s="95">
        <v>48639</v>
      </c>
      <c r="DW14" s="95">
        <v>48670</v>
      </c>
      <c r="DX14" s="95">
        <v>48700</v>
      </c>
      <c r="DY14" s="95">
        <v>48731</v>
      </c>
      <c r="DZ14" s="95">
        <v>48761</v>
      </c>
      <c r="EA14" s="95">
        <v>48792</v>
      </c>
      <c r="EB14" s="95">
        <v>48823</v>
      </c>
      <c r="EC14" s="95">
        <v>48853</v>
      </c>
      <c r="ED14" s="95">
        <v>48884</v>
      </c>
      <c r="EE14" s="95">
        <v>48914</v>
      </c>
    </row>
    <row r="15" spans="2:135" s="100" customFormat="1" ht="21" customHeight="1" x14ac:dyDescent="0.2">
      <c r="C15" s="101" t="s">
        <v>108</v>
      </c>
      <c r="D15" s="102">
        <f>D5/$B$5</f>
        <v>0.74315668039505378</v>
      </c>
      <c r="E15" s="102">
        <f t="shared" ref="E15:BP15" si="3">E5/$B$5</f>
        <v>0.74315668039505378</v>
      </c>
      <c r="F15" s="102">
        <f t="shared" si="3"/>
        <v>0.73899098118994899</v>
      </c>
      <c r="G15" s="102">
        <f t="shared" si="3"/>
        <v>0.73899098118994899</v>
      </c>
      <c r="H15" s="102">
        <f t="shared" si="3"/>
        <v>0.74126814740075231</v>
      </c>
      <c r="I15" s="102">
        <f t="shared" si="3"/>
        <v>0.74126814740075231</v>
      </c>
      <c r="J15" s="102">
        <f t="shared" si="3"/>
        <v>0.8215460295572653</v>
      </c>
      <c r="K15" s="102">
        <f t="shared" si="3"/>
        <v>0.84736301069683084</v>
      </c>
      <c r="L15" s="102">
        <f t="shared" si="3"/>
        <v>0.84736301069683084</v>
      </c>
      <c r="M15" s="102">
        <f t="shared" si="3"/>
        <v>0.8677091359910909</v>
      </c>
      <c r="N15" s="102">
        <f t="shared" si="3"/>
        <v>0.86064011206786128</v>
      </c>
      <c r="O15" s="102">
        <f t="shared" si="3"/>
        <v>0.86872275366667784</v>
      </c>
      <c r="P15" s="102">
        <f t="shared" si="3"/>
        <v>0.88395563431253477</v>
      </c>
      <c r="Q15" s="102">
        <f t="shared" si="3"/>
        <v>0.88333684454028105</v>
      </c>
      <c r="R15" s="102">
        <f t="shared" si="3"/>
        <v>0.88333684454028105</v>
      </c>
      <c r="S15" s="102">
        <f t="shared" si="3"/>
        <v>0.88779838330718741</v>
      </c>
      <c r="T15" s="102">
        <f t="shared" si="3"/>
        <v>0.88779838330718741</v>
      </c>
      <c r="U15" s="102">
        <f t="shared" si="3"/>
        <v>0.88779838330718741</v>
      </c>
      <c r="V15" s="102">
        <f t="shared" si="3"/>
        <v>0.89229879285636582</v>
      </c>
      <c r="W15" s="102">
        <f t="shared" si="3"/>
        <v>0.89229879285636582</v>
      </c>
      <c r="X15" s="102">
        <f t="shared" si="3"/>
        <v>0.89229879285636582</v>
      </c>
      <c r="Y15" s="102">
        <f t="shared" si="3"/>
        <v>0.89229879285636582</v>
      </c>
      <c r="Z15" s="102">
        <f t="shared" si="3"/>
        <v>0.89229879285636582</v>
      </c>
      <c r="AA15" s="102">
        <f t="shared" si="3"/>
        <v>0.89229879285636582</v>
      </c>
      <c r="AB15" s="102">
        <f t="shared" si="3"/>
        <v>0.89229879285636582</v>
      </c>
      <c r="AC15" s="102">
        <f t="shared" si="3"/>
        <v>0.89229879285636582</v>
      </c>
      <c r="AD15" s="102">
        <f t="shared" si="3"/>
        <v>0.89229879285636582</v>
      </c>
      <c r="AE15" s="102">
        <f t="shared" si="3"/>
        <v>0.89229879285636582</v>
      </c>
      <c r="AF15" s="102">
        <f t="shared" si="3"/>
        <v>0.88722210328405693</v>
      </c>
      <c r="AG15" s="102">
        <f t="shared" si="3"/>
        <v>0.88722210328405693</v>
      </c>
      <c r="AH15" s="102">
        <f t="shared" si="3"/>
        <v>0.88722210328405693</v>
      </c>
      <c r="AI15" s="102">
        <f t="shared" si="3"/>
        <v>0.88722210328405693</v>
      </c>
      <c r="AJ15" s="102">
        <f t="shared" si="3"/>
        <v>0.88722210328405693</v>
      </c>
      <c r="AK15" s="102">
        <f t="shared" si="3"/>
        <v>0.88722210328405693</v>
      </c>
      <c r="AL15" s="102">
        <f t="shared" si="3"/>
        <v>0.88725518480088417</v>
      </c>
      <c r="AM15" s="102">
        <f t="shared" si="3"/>
        <v>0.88725518480088417</v>
      </c>
      <c r="AN15" s="102">
        <f t="shared" si="3"/>
        <v>0.88725518480088417</v>
      </c>
      <c r="AO15" s="102">
        <f t="shared" si="3"/>
        <v>0.88725518480088417</v>
      </c>
      <c r="AP15" s="102">
        <f t="shared" si="3"/>
        <v>0.88725518480088417</v>
      </c>
      <c r="AQ15" s="102">
        <f t="shared" si="3"/>
        <v>0.88725518480088417</v>
      </c>
      <c r="AR15" s="102">
        <f t="shared" si="3"/>
        <v>0.88497801859008074</v>
      </c>
      <c r="AS15" s="102">
        <f t="shared" si="3"/>
        <v>0.88497801859008074</v>
      </c>
      <c r="AT15" s="102">
        <f t="shared" si="3"/>
        <v>0.88272880626099637</v>
      </c>
      <c r="AU15" s="102">
        <f t="shared" si="3"/>
        <v>0.88272880626099637</v>
      </c>
      <c r="AV15" s="102">
        <f t="shared" si="3"/>
        <v>0.88272880626099637</v>
      </c>
      <c r="AW15" s="102">
        <f t="shared" si="3"/>
        <v>0.88272880626099637</v>
      </c>
      <c r="AX15" s="102">
        <f t="shared" si="3"/>
        <v>0.88272880626099637</v>
      </c>
      <c r="AY15" s="102">
        <f t="shared" si="3"/>
        <v>0.88272880626099637</v>
      </c>
      <c r="AZ15" s="102">
        <f t="shared" si="3"/>
        <v>0.88975880776167349</v>
      </c>
      <c r="BA15" s="102">
        <f t="shared" si="3"/>
        <v>0.88975880776167349</v>
      </c>
      <c r="BB15" s="102">
        <f t="shared" si="3"/>
        <v>0.88975880776167349</v>
      </c>
      <c r="BC15" s="102">
        <f t="shared" si="3"/>
        <v>0.88975880776167349</v>
      </c>
      <c r="BD15" s="102">
        <f t="shared" si="3"/>
        <v>0.88975880776167349</v>
      </c>
      <c r="BE15" s="102">
        <f t="shared" si="3"/>
        <v>0.88975880776167349</v>
      </c>
      <c r="BF15" s="102">
        <f t="shared" si="3"/>
        <v>0.88975880776167349</v>
      </c>
      <c r="BG15" s="102">
        <f t="shared" si="3"/>
        <v>0.88975880776167349</v>
      </c>
      <c r="BH15" s="102">
        <f t="shared" si="3"/>
        <v>0.83855771713022675</v>
      </c>
      <c r="BI15" s="102">
        <f t="shared" si="3"/>
        <v>0.83855771713022675</v>
      </c>
      <c r="BJ15" s="102">
        <f t="shared" si="3"/>
        <v>0.83855771713022675</v>
      </c>
      <c r="BK15" s="102">
        <f t="shared" si="3"/>
        <v>0.83855771713022675</v>
      </c>
      <c r="BL15" s="102">
        <f t="shared" si="3"/>
        <v>0.8751048570533001</v>
      </c>
      <c r="BM15" s="102">
        <f t="shared" si="3"/>
        <v>0.8751048570533001</v>
      </c>
      <c r="BN15" s="102">
        <f t="shared" si="3"/>
        <v>0.8751048570533001</v>
      </c>
      <c r="BO15" s="102">
        <f t="shared" si="3"/>
        <v>0.8751048570533001</v>
      </c>
      <c r="BP15" s="102">
        <f t="shared" si="3"/>
        <v>0.8751048570533001</v>
      </c>
      <c r="BQ15" s="102">
        <f t="shared" ref="BQ15:EB15" si="4">BQ5/$B$5</f>
        <v>0.8751048570533001</v>
      </c>
      <c r="BR15" s="102">
        <f t="shared" si="4"/>
        <v>0.8751048570533001</v>
      </c>
      <c r="BS15" s="102">
        <f t="shared" si="4"/>
        <v>0.8751048570533001</v>
      </c>
      <c r="BT15" s="102">
        <f t="shared" si="4"/>
        <v>0.8751048570533001</v>
      </c>
      <c r="BU15" s="102">
        <f t="shared" si="4"/>
        <v>0.8751048570533001</v>
      </c>
      <c r="BV15" s="102">
        <f t="shared" si="4"/>
        <v>0.8751048570533001</v>
      </c>
      <c r="BW15" s="102">
        <f t="shared" si="4"/>
        <v>0.8751048570533001</v>
      </c>
      <c r="BX15" s="102">
        <f t="shared" si="4"/>
        <v>0.88806305260211593</v>
      </c>
      <c r="BY15" s="102">
        <f t="shared" si="4"/>
        <v>0.88806305260211593</v>
      </c>
      <c r="BZ15" s="102">
        <f t="shared" si="4"/>
        <v>0.88806305260211593</v>
      </c>
      <c r="CA15" s="102">
        <f t="shared" si="4"/>
        <v>0.88331023107954576</v>
      </c>
      <c r="CB15" s="102">
        <f t="shared" si="4"/>
        <v>0.88786439809356843</v>
      </c>
      <c r="CC15" s="102">
        <f t="shared" si="4"/>
        <v>0.88786439809356843</v>
      </c>
      <c r="CD15" s="102">
        <f t="shared" si="4"/>
        <v>0.89236480764274673</v>
      </c>
      <c r="CE15" s="102">
        <f t="shared" si="4"/>
        <v>0.88781064062872417</v>
      </c>
      <c r="CF15" s="102">
        <f t="shared" si="4"/>
        <v>0.88781064062872417</v>
      </c>
      <c r="CG15" s="102">
        <f t="shared" si="4"/>
        <v>0.88553595553168285</v>
      </c>
      <c r="CH15" s="102">
        <f t="shared" si="4"/>
        <v>0.88553595553168285</v>
      </c>
      <c r="CI15" s="102">
        <f t="shared" si="4"/>
        <v>0.88553595553168285</v>
      </c>
      <c r="CJ15" s="102">
        <f t="shared" si="4"/>
        <v>0.86807735043368872</v>
      </c>
      <c r="CK15" s="102">
        <f t="shared" si="4"/>
        <v>0.86807735043368872</v>
      </c>
      <c r="CL15" s="102">
        <f t="shared" si="4"/>
        <v>0.86807735043368872</v>
      </c>
      <c r="CM15" s="102">
        <f t="shared" si="4"/>
        <v>0.86807735043368872</v>
      </c>
      <c r="CN15" s="102">
        <f t="shared" si="4"/>
        <v>0.86807735043368872</v>
      </c>
      <c r="CO15" s="102">
        <f t="shared" si="4"/>
        <v>0.86807735043368872</v>
      </c>
      <c r="CP15" s="102">
        <f t="shared" si="4"/>
        <v>0.89367715141528348</v>
      </c>
      <c r="CQ15" s="102">
        <f t="shared" si="4"/>
        <v>0.89367715141528348</v>
      </c>
      <c r="CR15" s="102">
        <f t="shared" si="4"/>
        <v>0.89367715141528348</v>
      </c>
      <c r="CS15" s="102">
        <f t="shared" si="4"/>
        <v>0.89367715141528348</v>
      </c>
      <c r="CT15" s="102">
        <f t="shared" si="4"/>
        <v>0.89367715141528348</v>
      </c>
      <c r="CU15" s="102">
        <f t="shared" si="4"/>
        <v>0.89367715141528348</v>
      </c>
      <c r="CV15" s="102">
        <f t="shared" si="4"/>
        <v>0.89367715141528348</v>
      </c>
      <c r="CW15" s="102">
        <f t="shared" si="4"/>
        <v>0.89367715141528348</v>
      </c>
      <c r="CX15" s="102">
        <f t="shared" si="4"/>
        <v>0.89367715141528348</v>
      </c>
      <c r="CY15" s="102">
        <f t="shared" si="4"/>
        <v>0.89367715141528348</v>
      </c>
      <c r="CZ15" s="102">
        <f t="shared" si="4"/>
        <v>0.89367715141528348</v>
      </c>
      <c r="DA15" s="102">
        <f t="shared" si="4"/>
        <v>0.89367715141528348</v>
      </c>
      <c r="DB15" s="102">
        <f t="shared" si="4"/>
        <v>0.89367715141528348</v>
      </c>
      <c r="DC15" s="102">
        <f t="shared" si="4"/>
        <v>0.89367715141528348</v>
      </c>
      <c r="DD15" s="102">
        <f t="shared" si="4"/>
        <v>0.89367715141528348</v>
      </c>
      <c r="DE15" s="102">
        <f t="shared" si="4"/>
        <v>0.89367715141528348</v>
      </c>
      <c r="DF15" s="102">
        <f t="shared" si="4"/>
        <v>0.89367715141528348</v>
      </c>
      <c r="DG15" s="102">
        <f t="shared" si="4"/>
        <v>0.89367715141528348</v>
      </c>
      <c r="DH15" s="102">
        <f t="shared" si="4"/>
        <v>0.89367715141528348</v>
      </c>
      <c r="DI15" s="102">
        <f t="shared" si="4"/>
        <v>0.89367715141528348</v>
      </c>
      <c r="DJ15" s="102">
        <f t="shared" si="4"/>
        <v>0.89367715141528348</v>
      </c>
      <c r="DK15" s="102">
        <f t="shared" si="4"/>
        <v>0.89367715141528348</v>
      </c>
      <c r="DL15" s="102">
        <f t="shared" si="4"/>
        <v>0.89367715141528348</v>
      </c>
      <c r="DM15" s="102">
        <f t="shared" si="4"/>
        <v>0.89367715141528348</v>
      </c>
      <c r="DN15" s="102">
        <f t="shared" si="4"/>
        <v>0.89367715141528348</v>
      </c>
      <c r="DO15" s="102">
        <f t="shared" si="4"/>
        <v>0.89367715141528348</v>
      </c>
      <c r="DP15" s="102">
        <f t="shared" si="4"/>
        <v>0.89367715141528348</v>
      </c>
      <c r="DQ15" s="102">
        <f t="shared" si="4"/>
        <v>0.89367715141528348</v>
      </c>
      <c r="DR15" s="102">
        <f t="shared" si="4"/>
        <v>0.89367715141528348</v>
      </c>
      <c r="DS15" s="102">
        <f t="shared" si="4"/>
        <v>0.89367715141528348</v>
      </c>
      <c r="DT15" s="102">
        <f t="shared" si="4"/>
        <v>0.89367715141528348</v>
      </c>
      <c r="DU15" s="102">
        <f t="shared" si="4"/>
        <v>0.89367715141528348</v>
      </c>
      <c r="DV15" s="102">
        <f t="shared" si="4"/>
        <v>0.89367715141528348</v>
      </c>
      <c r="DW15" s="102">
        <f t="shared" si="4"/>
        <v>0.89367715141528348</v>
      </c>
      <c r="DX15" s="102">
        <f t="shared" si="4"/>
        <v>0.89367715141528348</v>
      </c>
      <c r="DY15" s="102">
        <f t="shared" si="4"/>
        <v>0.89367715141528348</v>
      </c>
      <c r="DZ15" s="102">
        <f t="shared" si="4"/>
        <v>0.89367715141528348</v>
      </c>
      <c r="EA15" s="102">
        <f t="shared" si="4"/>
        <v>0.89367715141528348</v>
      </c>
      <c r="EB15" s="102">
        <f t="shared" si="4"/>
        <v>0.89367715141528348</v>
      </c>
      <c r="EC15" s="102">
        <f t="shared" ref="EC15:EE15" si="5">EC5/$B$5</f>
        <v>0.89367715141528348</v>
      </c>
      <c r="ED15" s="102">
        <f t="shared" si="5"/>
        <v>0.89367715141528348</v>
      </c>
      <c r="EE15" s="102">
        <f t="shared" si="5"/>
        <v>0.89367715141528348</v>
      </c>
    </row>
    <row r="16" spans="2:135" ht="21" customHeight="1" x14ac:dyDescent="0.2">
      <c r="C16" s="22" t="s">
        <v>104</v>
      </c>
      <c r="D16" s="103">
        <f>D6/$B$6</f>
        <v>0.9165051964065527</v>
      </c>
      <c r="E16" s="103">
        <f t="shared" ref="E16:BP16" si="6">E6/$B$6</f>
        <v>0.9165051964065527</v>
      </c>
      <c r="F16" s="103">
        <f t="shared" si="6"/>
        <v>0.9165051964065527</v>
      </c>
      <c r="G16" s="103">
        <f t="shared" si="6"/>
        <v>0.9165051964065527</v>
      </c>
      <c r="H16" s="103">
        <f t="shared" si="6"/>
        <v>0.9165051964065527</v>
      </c>
      <c r="I16" s="103">
        <f t="shared" si="6"/>
        <v>0.9165051964065527</v>
      </c>
      <c r="J16" s="103">
        <f t="shared" si="6"/>
        <v>0.9165051964065527</v>
      </c>
      <c r="K16" s="103">
        <f t="shared" si="6"/>
        <v>0.9165051964065527</v>
      </c>
      <c r="L16" s="103">
        <f t="shared" si="6"/>
        <v>0.9165051964065527</v>
      </c>
      <c r="M16" s="103">
        <f t="shared" si="6"/>
        <v>0.9165051964065527</v>
      </c>
      <c r="N16" s="103">
        <f t="shared" si="6"/>
        <v>0.9165051964065527</v>
      </c>
      <c r="O16" s="103">
        <f t="shared" si="6"/>
        <v>0.9165051964065527</v>
      </c>
      <c r="P16" s="103">
        <f t="shared" si="6"/>
        <v>0.9165051964065527</v>
      </c>
      <c r="Q16" s="103">
        <f t="shared" si="6"/>
        <v>0.9165051964065527</v>
      </c>
      <c r="R16" s="103">
        <f t="shared" si="6"/>
        <v>0.9165051964065527</v>
      </c>
      <c r="S16" s="103">
        <f t="shared" si="6"/>
        <v>0.9165051964065527</v>
      </c>
      <c r="T16" s="103">
        <f t="shared" si="6"/>
        <v>0.9165051964065527</v>
      </c>
      <c r="U16" s="103">
        <f t="shared" si="6"/>
        <v>0.9165051964065527</v>
      </c>
      <c r="V16" s="103">
        <f t="shared" si="6"/>
        <v>0.9165051964065527</v>
      </c>
      <c r="W16" s="103">
        <f t="shared" si="6"/>
        <v>0.9165051964065527</v>
      </c>
      <c r="X16" s="103">
        <f t="shared" si="6"/>
        <v>0.9165051964065527</v>
      </c>
      <c r="Y16" s="103">
        <f t="shared" si="6"/>
        <v>0.9165051964065527</v>
      </c>
      <c r="Z16" s="103">
        <f t="shared" si="6"/>
        <v>0.9165051964065527</v>
      </c>
      <c r="AA16" s="103">
        <f t="shared" si="6"/>
        <v>0.9165051964065527</v>
      </c>
      <c r="AB16" s="103">
        <f t="shared" si="6"/>
        <v>0.9165051964065527</v>
      </c>
      <c r="AC16" s="103">
        <f t="shared" si="6"/>
        <v>0.9165051964065527</v>
      </c>
      <c r="AD16" s="103">
        <f t="shared" si="6"/>
        <v>0.9165051964065527</v>
      </c>
      <c r="AE16" s="103">
        <f t="shared" si="6"/>
        <v>0.9165051964065527</v>
      </c>
      <c r="AF16" s="103">
        <f t="shared" si="6"/>
        <v>0.9165051964065527</v>
      </c>
      <c r="AG16" s="103">
        <f t="shared" si="6"/>
        <v>0.9165051964065527</v>
      </c>
      <c r="AH16" s="103">
        <f t="shared" si="6"/>
        <v>0.9165051964065527</v>
      </c>
      <c r="AI16" s="103">
        <f t="shared" si="6"/>
        <v>0.9165051964065527</v>
      </c>
      <c r="AJ16" s="103">
        <f t="shared" si="6"/>
        <v>0.9165051964065527</v>
      </c>
      <c r="AK16" s="103">
        <f t="shared" si="6"/>
        <v>0.9165051964065527</v>
      </c>
      <c r="AL16" s="103">
        <f t="shared" si="6"/>
        <v>0.9165051964065527</v>
      </c>
      <c r="AM16" s="103">
        <f t="shared" si="6"/>
        <v>0.9165051964065527</v>
      </c>
      <c r="AN16" s="103">
        <f t="shared" si="6"/>
        <v>0.9165051964065527</v>
      </c>
      <c r="AO16" s="103">
        <f t="shared" si="6"/>
        <v>0.9165051964065527</v>
      </c>
      <c r="AP16" s="103">
        <f t="shared" si="6"/>
        <v>0.9165051964065527</v>
      </c>
      <c r="AQ16" s="103">
        <f t="shared" si="6"/>
        <v>0.9165051964065527</v>
      </c>
      <c r="AR16" s="103">
        <f t="shared" si="6"/>
        <v>0.9165051964065527</v>
      </c>
      <c r="AS16" s="103">
        <f t="shared" si="6"/>
        <v>0.9165051964065527</v>
      </c>
      <c r="AT16" s="103">
        <f t="shared" si="6"/>
        <v>0.9165051964065527</v>
      </c>
      <c r="AU16" s="103">
        <f t="shared" si="6"/>
        <v>0.9165051964065527</v>
      </c>
      <c r="AV16" s="103">
        <f t="shared" si="6"/>
        <v>0.9165051964065527</v>
      </c>
      <c r="AW16" s="103">
        <f t="shared" si="6"/>
        <v>0.9165051964065527</v>
      </c>
      <c r="AX16" s="103">
        <f t="shared" si="6"/>
        <v>0.9165051964065527</v>
      </c>
      <c r="AY16" s="103">
        <f t="shared" si="6"/>
        <v>0.9165051964065527</v>
      </c>
      <c r="AZ16" s="103">
        <f t="shared" si="6"/>
        <v>0.9165051964065527</v>
      </c>
      <c r="BA16" s="103">
        <f t="shared" si="6"/>
        <v>0.9165051964065527</v>
      </c>
      <c r="BB16" s="103">
        <f t="shared" si="6"/>
        <v>0.9165051964065527</v>
      </c>
      <c r="BC16" s="103">
        <f t="shared" si="6"/>
        <v>0.9165051964065527</v>
      </c>
      <c r="BD16" s="103">
        <f t="shared" si="6"/>
        <v>0.9165051964065527</v>
      </c>
      <c r="BE16" s="103">
        <f t="shared" si="6"/>
        <v>0.9165051964065527</v>
      </c>
      <c r="BF16" s="103">
        <f t="shared" si="6"/>
        <v>0.9165051964065527</v>
      </c>
      <c r="BG16" s="103">
        <f t="shared" si="6"/>
        <v>0.9165051964065527</v>
      </c>
      <c r="BH16" s="103">
        <f t="shared" si="6"/>
        <v>0.9165051964065527</v>
      </c>
      <c r="BI16" s="103">
        <f t="shared" si="6"/>
        <v>0.9165051964065527</v>
      </c>
      <c r="BJ16" s="103">
        <f t="shared" si="6"/>
        <v>0.9165051964065527</v>
      </c>
      <c r="BK16" s="103">
        <f t="shared" si="6"/>
        <v>0.9165051964065527</v>
      </c>
      <c r="BL16" s="103">
        <f t="shared" si="6"/>
        <v>0.9165051964065527</v>
      </c>
      <c r="BM16" s="103">
        <f t="shared" si="6"/>
        <v>0.9165051964065527</v>
      </c>
      <c r="BN16" s="103">
        <f t="shared" si="6"/>
        <v>0.9165051964065527</v>
      </c>
      <c r="BO16" s="103">
        <f t="shared" si="6"/>
        <v>0.9165051964065527</v>
      </c>
      <c r="BP16" s="103">
        <f t="shared" si="6"/>
        <v>0.9165051964065527</v>
      </c>
      <c r="BQ16" s="103">
        <f t="shared" ref="BQ16:EB16" si="7">BQ6/$B$6</f>
        <v>0.9165051964065527</v>
      </c>
      <c r="BR16" s="103">
        <f t="shared" si="7"/>
        <v>0.9165051964065527</v>
      </c>
      <c r="BS16" s="103">
        <f t="shared" si="7"/>
        <v>0.9165051964065527</v>
      </c>
      <c r="BT16" s="103">
        <f t="shared" si="7"/>
        <v>0.9165051964065527</v>
      </c>
      <c r="BU16" s="103">
        <f t="shared" si="7"/>
        <v>0.9165051964065527</v>
      </c>
      <c r="BV16" s="103">
        <f t="shared" si="7"/>
        <v>0.9165051964065527</v>
      </c>
      <c r="BW16" s="103">
        <f t="shared" si="7"/>
        <v>0.9165051964065527</v>
      </c>
      <c r="BX16" s="103">
        <f t="shared" si="7"/>
        <v>0.9165051964065527</v>
      </c>
      <c r="BY16" s="103">
        <f t="shared" si="7"/>
        <v>0.9165051964065527</v>
      </c>
      <c r="BZ16" s="103">
        <f t="shared" si="7"/>
        <v>0.9165051964065527</v>
      </c>
      <c r="CA16" s="103">
        <f t="shared" si="7"/>
        <v>0.9165051964065527</v>
      </c>
      <c r="CB16" s="103">
        <f t="shared" si="7"/>
        <v>0.9165051964065527</v>
      </c>
      <c r="CC16" s="103">
        <f t="shared" si="7"/>
        <v>0.9165051964065527</v>
      </c>
      <c r="CD16" s="103">
        <f t="shared" si="7"/>
        <v>0.9165051964065527</v>
      </c>
      <c r="CE16" s="103">
        <f t="shared" si="7"/>
        <v>0.9165051964065527</v>
      </c>
      <c r="CF16" s="103">
        <f t="shared" si="7"/>
        <v>0.9165051964065527</v>
      </c>
      <c r="CG16" s="103">
        <f t="shared" si="7"/>
        <v>0.9165051964065527</v>
      </c>
      <c r="CH16" s="103">
        <f t="shared" si="7"/>
        <v>0.9165051964065527</v>
      </c>
      <c r="CI16" s="103">
        <f t="shared" si="7"/>
        <v>0.9165051964065527</v>
      </c>
      <c r="CJ16" s="103">
        <f t="shared" si="7"/>
        <v>0.9165051964065527</v>
      </c>
      <c r="CK16" s="103">
        <f t="shared" si="7"/>
        <v>0.9165051964065527</v>
      </c>
      <c r="CL16" s="103">
        <f t="shared" si="7"/>
        <v>0.9165051964065527</v>
      </c>
      <c r="CM16" s="103">
        <f t="shared" si="7"/>
        <v>0.9165051964065527</v>
      </c>
      <c r="CN16" s="103">
        <f t="shared" si="7"/>
        <v>0.9165051964065527</v>
      </c>
      <c r="CO16" s="103">
        <f t="shared" si="7"/>
        <v>0.9165051964065527</v>
      </c>
      <c r="CP16" s="103">
        <f t="shared" si="7"/>
        <v>0.9165051964065527</v>
      </c>
      <c r="CQ16" s="103">
        <f t="shared" si="7"/>
        <v>0.9165051964065527</v>
      </c>
      <c r="CR16" s="103">
        <f t="shared" si="7"/>
        <v>0.9165051964065527</v>
      </c>
      <c r="CS16" s="103">
        <f t="shared" si="7"/>
        <v>0.9165051964065527</v>
      </c>
      <c r="CT16" s="103">
        <f t="shared" si="7"/>
        <v>0.9165051964065527</v>
      </c>
      <c r="CU16" s="103">
        <f t="shared" si="7"/>
        <v>0.9165051964065527</v>
      </c>
      <c r="CV16" s="103">
        <f t="shared" si="7"/>
        <v>0.9165051964065527</v>
      </c>
      <c r="CW16" s="103">
        <f t="shared" si="7"/>
        <v>0.9165051964065527</v>
      </c>
      <c r="CX16" s="103">
        <f t="shared" si="7"/>
        <v>0.9165051964065527</v>
      </c>
      <c r="CY16" s="103">
        <f t="shared" si="7"/>
        <v>0.9165051964065527</v>
      </c>
      <c r="CZ16" s="103">
        <f t="shared" si="7"/>
        <v>0.9165051964065527</v>
      </c>
      <c r="DA16" s="103">
        <f t="shared" si="7"/>
        <v>0.9165051964065527</v>
      </c>
      <c r="DB16" s="103">
        <f t="shared" si="7"/>
        <v>0.9165051964065527</v>
      </c>
      <c r="DC16" s="103">
        <f t="shared" si="7"/>
        <v>0.9165051964065527</v>
      </c>
      <c r="DD16" s="103">
        <f t="shared" si="7"/>
        <v>0.9165051964065527</v>
      </c>
      <c r="DE16" s="103">
        <f t="shared" si="7"/>
        <v>0.9165051964065527</v>
      </c>
      <c r="DF16" s="103">
        <f t="shared" si="7"/>
        <v>0.9165051964065527</v>
      </c>
      <c r="DG16" s="103">
        <f t="shared" si="7"/>
        <v>0.9165051964065527</v>
      </c>
      <c r="DH16" s="103">
        <f t="shared" si="7"/>
        <v>0.9165051964065527</v>
      </c>
      <c r="DI16" s="103">
        <f t="shared" si="7"/>
        <v>0.9165051964065527</v>
      </c>
      <c r="DJ16" s="103">
        <f t="shared" si="7"/>
        <v>0.9165051964065527</v>
      </c>
      <c r="DK16" s="103">
        <f t="shared" si="7"/>
        <v>0.9165051964065527</v>
      </c>
      <c r="DL16" s="103">
        <f t="shared" si="7"/>
        <v>0.9165051964065527</v>
      </c>
      <c r="DM16" s="103">
        <f t="shared" si="7"/>
        <v>0.9165051964065527</v>
      </c>
      <c r="DN16" s="103">
        <f t="shared" si="7"/>
        <v>0.9165051964065527</v>
      </c>
      <c r="DO16" s="103">
        <f t="shared" si="7"/>
        <v>0.9165051964065527</v>
      </c>
      <c r="DP16" s="103">
        <f t="shared" si="7"/>
        <v>0.9165051964065527</v>
      </c>
      <c r="DQ16" s="103">
        <f t="shared" si="7"/>
        <v>0.9165051964065527</v>
      </c>
      <c r="DR16" s="103">
        <f t="shared" si="7"/>
        <v>0.9165051964065527</v>
      </c>
      <c r="DS16" s="103">
        <f t="shared" si="7"/>
        <v>0.9165051964065527</v>
      </c>
      <c r="DT16" s="103">
        <f t="shared" si="7"/>
        <v>0.9165051964065527</v>
      </c>
      <c r="DU16" s="103">
        <f t="shared" si="7"/>
        <v>0.9165051964065527</v>
      </c>
      <c r="DV16" s="103">
        <f t="shared" si="7"/>
        <v>0.9165051964065527</v>
      </c>
      <c r="DW16" s="103">
        <f t="shared" si="7"/>
        <v>0.9165051964065527</v>
      </c>
      <c r="DX16" s="103">
        <f t="shared" si="7"/>
        <v>0.9165051964065527</v>
      </c>
      <c r="DY16" s="103">
        <f t="shared" si="7"/>
        <v>0.9165051964065527</v>
      </c>
      <c r="DZ16" s="103">
        <f t="shared" si="7"/>
        <v>0.9165051964065527</v>
      </c>
      <c r="EA16" s="103">
        <f t="shared" si="7"/>
        <v>0.9165051964065527</v>
      </c>
      <c r="EB16" s="103">
        <f t="shared" si="7"/>
        <v>0.9165051964065527</v>
      </c>
      <c r="EC16" s="103">
        <f t="shared" ref="EC16:EE16" si="8">EC6/$B$6</f>
        <v>0.9165051964065527</v>
      </c>
      <c r="ED16" s="103">
        <f t="shared" si="8"/>
        <v>0.9165051964065527</v>
      </c>
      <c r="EE16" s="103">
        <f t="shared" si="8"/>
        <v>0.9165051964065527</v>
      </c>
    </row>
    <row r="17" spans="1:135" ht="21" customHeight="1" x14ac:dyDescent="0.2">
      <c r="C17" s="22" t="s">
        <v>105</v>
      </c>
      <c r="D17" s="103">
        <f>D7/$B$7</f>
        <v>0.99721565140367552</v>
      </c>
      <c r="E17" s="103">
        <f t="shared" ref="E17:BP17" si="9">E7/$B$7</f>
        <v>0.99721565140367552</v>
      </c>
      <c r="F17" s="103">
        <f t="shared" si="9"/>
        <v>0.99721565140367552</v>
      </c>
      <c r="G17" s="103">
        <f t="shared" si="9"/>
        <v>0.99721565140367552</v>
      </c>
      <c r="H17" s="103">
        <f t="shared" si="9"/>
        <v>0.99721565140367552</v>
      </c>
      <c r="I17" s="103">
        <f t="shared" si="9"/>
        <v>0.99721565140367552</v>
      </c>
      <c r="J17" s="103">
        <f t="shared" si="9"/>
        <v>0.99721565140367552</v>
      </c>
      <c r="K17" s="103">
        <f t="shared" si="9"/>
        <v>0.99721565140367552</v>
      </c>
      <c r="L17" s="103">
        <f t="shared" si="9"/>
        <v>0.99721565140367552</v>
      </c>
      <c r="M17" s="103">
        <f t="shared" si="9"/>
        <v>0.99721565140367552</v>
      </c>
      <c r="N17" s="103">
        <f t="shared" si="9"/>
        <v>0.99721565140367552</v>
      </c>
      <c r="O17" s="103">
        <f t="shared" si="9"/>
        <v>0.99721565140367552</v>
      </c>
      <c r="P17" s="103">
        <f t="shared" si="9"/>
        <v>0.99721565140367552</v>
      </c>
      <c r="Q17" s="103">
        <f t="shared" si="9"/>
        <v>0.99721565140367552</v>
      </c>
      <c r="R17" s="103">
        <f t="shared" si="9"/>
        <v>0.99721565140367552</v>
      </c>
      <c r="S17" s="103">
        <f t="shared" si="9"/>
        <v>0.99721565140367552</v>
      </c>
      <c r="T17" s="103">
        <f t="shared" si="9"/>
        <v>0.99721565140367552</v>
      </c>
      <c r="U17" s="103">
        <f t="shared" si="9"/>
        <v>0.99721565140367552</v>
      </c>
      <c r="V17" s="103">
        <f t="shared" si="9"/>
        <v>0.99721565140367552</v>
      </c>
      <c r="W17" s="103">
        <f t="shared" si="9"/>
        <v>0.99721565140367552</v>
      </c>
      <c r="X17" s="103">
        <f t="shared" si="9"/>
        <v>0.99721565140367552</v>
      </c>
      <c r="Y17" s="103">
        <f t="shared" si="9"/>
        <v>0.99721565140367552</v>
      </c>
      <c r="Z17" s="103">
        <f t="shared" si="9"/>
        <v>0.99721565140367552</v>
      </c>
      <c r="AA17" s="103">
        <f t="shared" si="9"/>
        <v>0.99721565140367552</v>
      </c>
      <c r="AB17" s="103">
        <f t="shared" si="9"/>
        <v>0.99721565140367552</v>
      </c>
      <c r="AC17" s="103">
        <f t="shared" si="9"/>
        <v>0.99721565140367552</v>
      </c>
      <c r="AD17" s="103">
        <f t="shared" si="9"/>
        <v>0.99721565140367552</v>
      </c>
      <c r="AE17" s="103">
        <f t="shared" si="9"/>
        <v>0.99721565140367552</v>
      </c>
      <c r="AF17" s="103">
        <f t="shared" si="9"/>
        <v>0.99721565140367552</v>
      </c>
      <c r="AG17" s="103">
        <f t="shared" si="9"/>
        <v>0.99721565140367552</v>
      </c>
      <c r="AH17" s="103">
        <f t="shared" si="9"/>
        <v>0.99721565140367552</v>
      </c>
      <c r="AI17" s="103">
        <f t="shared" si="9"/>
        <v>0.99721565140367552</v>
      </c>
      <c r="AJ17" s="103">
        <f t="shared" si="9"/>
        <v>0.99721565140367552</v>
      </c>
      <c r="AK17" s="103">
        <f t="shared" si="9"/>
        <v>0.99721565140367552</v>
      </c>
      <c r="AL17" s="103">
        <f t="shared" si="9"/>
        <v>0.99721565140367552</v>
      </c>
      <c r="AM17" s="103">
        <f t="shared" si="9"/>
        <v>0.99721565140367552</v>
      </c>
      <c r="AN17" s="103">
        <f t="shared" si="9"/>
        <v>0.99721565140367552</v>
      </c>
      <c r="AO17" s="103">
        <f t="shared" si="9"/>
        <v>0.99721565140367552</v>
      </c>
      <c r="AP17" s="103">
        <f t="shared" si="9"/>
        <v>0.99721565140367552</v>
      </c>
      <c r="AQ17" s="103">
        <f t="shared" si="9"/>
        <v>0.99721565140367552</v>
      </c>
      <c r="AR17" s="103">
        <f t="shared" si="9"/>
        <v>0.99721565140367552</v>
      </c>
      <c r="AS17" s="103">
        <f t="shared" si="9"/>
        <v>0.99721565140367552</v>
      </c>
      <c r="AT17" s="103">
        <f t="shared" si="9"/>
        <v>0.99721565140367552</v>
      </c>
      <c r="AU17" s="103">
        <f t="shared" si="9"/>
        <v>0.99721565140367552</v>
      </c>
      <c r="AV17" s="103">
        <f t="shared" si="9"/>
        <v>0.99721565140367552</v>
      </c>
      <c r="AW17" s="103">
        <f t="shared" si="9"/>
        <v>0.99721565140367552</v>
      </c>
      <c r="AX17" s="103">
        <f t="shared" si="9"/>
        <v>0.99721565140367552</v>
      </c>
      <c r="AY17" s="103">
        <f t="shared" si="9"/>
        <v>0.99721565140367552</v>
      </c>
      <c r="AZ17" s="103">
        <f t="shared" si="9"/>
        <v>0.99721565140367552</v>
      </c>
      <c r="BA17" s="103">
        <f t="shared" si="9"/>
        <v>0.99721565140367552</v>
      </c>
      <c r="BB17" s="103">
        <f t="shared" si="9"/>
        <v>0.99721565140367552</v>
      </c>
      <c r="BC17" s="103">
        <f t="shared" si="9"/>
        <v>0.99721565140367552</v>
      </c>
      <c r="BD17" s="103">
        <f t="shared" si="9"/>
        <v>0.99721565140367552</v>
      </c>
      <c r="BE17" s="103">
        <f t="shared" si="9"/>
        <v>0.99721565140367552</v>
      </c>
      <c r="BF17" s="103">
        <f t="shared" si="9"/>
        <v>0.99721565140367552</v>
      </c>
      <c r="BG17" s="103">
        <f t="shared" si="9"/>
        <v>0.99721565140367552</v>
      </c>
      <c r="BH17" s="103">
        <f t="shared" si="9"/>
        <v>0.99721565140367552</v>
      </c>
      <c r="BI17" s="103">
        <f t="shared" si="9"/>
        <v>0.99721565140367552</v>
      </c>
      <c r="BJ17" s="103">
        <f t="shared" si="9"/>
        <v>0.99721565140367552</v>
      </c>
      <c r="BK17" s="103">
        <f t="shared" si="9"/>
        <v>0.99721565140367552</v>
      </c>
      <c r="BL17" s="103">
        <f t="shared" si="9"/>
        <v>0.99721565140367552</v>
      </c>
      <c r="BM17" s="103">
        <f t="shared" si="9"/>
        <v>0.99721565140367552</v>
      </c>
      <c r="BN17" s="103">
        <f t="shared" si="9"/>
        <v>0.99721565140367552</v>
      </c>
      <c r="BO17" s="103">
        <f t="shared" si="9"/>
        <v>0.99721565140367552</v>
      </c>
      <c r="BP17" s="103">
        <f t="shared" si="9"/>
        <v>0.99721565140367552</v>
      </c>
      <c r="BQ17" s="103">
        <f t="shared" ref="BQ17:EB17" si="10">BQ7/$B$7</f>
        <v>0.99721565140367552</v>
      </c>
      <c r="BR17" s="103">
        <f t="shared" si="10"/>
        <v>0.99721565140367552</v>
      </c>
      <c r="BS17" s="103">
        <f t="shared" si="10"/>
        <v>0.99721565140367552</v>
      </c>
      <c r="BT17" s="103">
        <f t="shared" si="10"/>
        <v>0.99721565140367552</v>
      </c>
      <c r="BU17" s="103">
        <f t="shared" si="10"/>
        <v>0.99721565140367552</v>
      </c>
      <c r="BV17" s="103">
        <f t="shared" si="10"/>
        <v>0.99721565140367552</v>
      </c>
      <c r="BW17" s="103">
        <f t="shared" si="10"/>
        <v>0.99721565140367552</v>
      </c>
      <c r="BX17" s="103">
        <f t="shared" si="10"/>
        <v>0.99721565140367552</v>
      </c>
      <c r="BY17" s="103">
        <f t="shared" si="10"/>
        <v>0.99721565140367552</v>
      </c>
      <c r="BZ17" s="103">
        <f t="shared" si="10"/>
        <v>0.99721565140367552</v>
      </c>
      <c r="CA17" s="103">
        <f t="shared" si="10"/>
        <v>0.99721565140367552</v>
      </c>
      <c r="CB17" s="103">
        <f t="shared" si="10"/>
        <v>0.99721565140367552</v>
      </c>
      <c r="CC17" s="103">
        <f t="shared" si="10"/>
        <v>0.99721565140367552</v>
      </c>
      <c r="CD17" s="103">
        <f t="shared" si="10"/>
        <v>0.99721565140367552</v>
      </c>
      <c r="CE17" s="103">
        <f t="shared" si="10"/>
        <v>0.99721565140367552</v>
      </c>
      <c r="CF17" s="103">
        <f t="shared" si="10"/>
        <v>0.99721565140367552</v>
      </c>
      <c r="CG17" s="103">
        <f t="shared" si="10"/>
        <v>0.99721565140367552</v>
      </c>
      <c r="CH17" s="103">
        <f t="shared" si="10"/>
        <v>0.99721565140367552</v>
      </c>
      <c r="CI17" s="103">
        <f t="shared" si="10"/>
        <v>0.99721565140367552</v>
      </c>
      <c r="CJ17" s="103">
        <f t="shared" si="10"/>
        <v>0.99721565140367552</v>
      </c>
      <c r="CK17" s="103">
        <f t="shared" si="10"/>
        <v>0.99721565140367552</v>
      </c>
      <c r="CL17" s="103">
        <f t="shared" si="10"/>
        <v>0.99721565140367552</v>
      </c>
      <c r="CM17" s="103">
        <f t="shared" si="10"/>
        <v>0.99721565140367552</v>
      </c>
      <c r="CN17" s="103">
        <f t="shared" si="10"/>
        <v>0.99721565140367552</v>
      </c>
      <c r="CO17" s="103">
        <f t="shared" si="10"/>
        <v>0.99721565140367552</v>
      </c>
      <c r="CP17" s="103">
        <f t="shared" si="10"/>
        <v>0.99721565140367552</v>
      </c>
      <c r="CQ17" s="103">
        <f t="shared" si="10"/>
        <v>0.99721565140367552</v>
      </c>
      <c r="CR17" s="103">
        <f t="shared" si="10"/>
        <v>0.99721565140367552</v>
      </c>
      <c r="CS17" s="103">
        <f t="shared" si="10"/>
        <v>0.99721565140367552</v>
      </c>
      <c r="CT17" s="103">
        <f t="shared" si="10"/>
        <v>0.99721565140367552</v>
      </c>
      <c r="CU17" s="103">
        <f t="shared" si="10"/>
        <v>0.99721565140367552</v>
      </c>
      <c r="CV17" s="103">
        <f t="shared" si="10"/>
        <v>0.99721565140367552</v>
      </c>
      <c r="CW17" s="103">
        <f t="shared" si="10"/>
        <v>0.99721565140367552</v>
      </c>
      <c r="CX17" s="103">
        <f t="shared" si="10"/>
        <v>0.99721565140367552</v>
      </c>
      <c r="CY17" s="103">
        <f t="shared" si="10"/>
        <v>0.99721565140367552</v>
      </c>
      <c r="CZ17" s="103">
        <f t="shared" si="10"/>
        <v>0.99721565140367552</v>
      </c>
      <c r="DA17" s="103">
        <f t="shared" si="10"/>
        <v>0.99721565140367552</v>
      </c>
      <c r="DB17" s="103">
        <f t="shared" si="10"/>
        <v>0.99721565140367552</v>
      </c>
      <c r="DC17" s="103">
        <f t="shared" si="10"/>
        <v>0.99721565140367552</v>
      </c>
      <c r="DD17" s="103">
        <f t="shared" si="10"/>
        <v>0.99721565140367552</v>
      </c>
      <c r="DE17" s="103">
        <f t="shared" si="10"/>
        <v>0.99721565140367552</v>
      </c>
      <c r="DF17" s="103">
        <f t="shared" si="10"/>
        <v>0.99721565140367552</v>
      </c>
      <c r="DG17" s="103">
        <f t="shared" si="10"/>
        <v>0.99721565140367552</v>
      </c>
      <c r="DH17" s="103">
        <f t="shared" si="10"/>
        <v>0.99721565140367552</v>
      </c>
      <c r="DI17" s="103">
        <f t="shared" si="10"/>
        <v>0.99721565140367552</v>
      </c>
      <c r="DJ17" s="103">
        <f t="shared" si="10"/>
        <v>0.99721565140367552</v>
      </c>
      <c r="DK17" s="103">
        <f t="shared" si="10"/>
        <v>0.99721565140367552</v>
      </c>
      <c r="DL17" s="103">
        <f t="shared" si="10"/>
        <v>0.99721565140367552</v>
      </c>
      <c r="DM17" s="103">
        <f t="shared" si="10"/>
        <v>0.99721565140367552</v>
      </c>
      <c r="DN17" s="103">
        <f t="shared" si="10"/>
        <v>0.99721565140367552</v>
      </c>
      <c r="DO17" s="103">
        <f t="shared" si="10"/>
        <v>0.99721565140367552</v>
      </c>
      <c r="DP17" s="103">
        <f t="shared" si="10"/>
        <v>0.99721565140367552</v>
      </c>
      <c r="DQ17" s="103">
        <f t="shared" si="10"/>
        <v>0.99721565140367552</v>
      </c>
      <c r="DR17" s="103">
        <f t="shared" si="10"/>
        <v>0.99721565140367552</v>
      </c>
      <c r="DS17" s="103">
        <f t="shared" si="10"/>
        <v>0.99721565140367552</v>
      </c>
      <c r="DT17" s="103">
        <f t="shared" si="10"/>
        <v>0.99721565140367552</v>
      </c>
      <c r="DU17" s="103">
        <f t="shared" si="10"/>
        <v>0.99721565140367552</v>
      </c>
      <c r="DV17" s="103">
        <f t="shared" si="10"/>
        <v>0.99721565140367552</v>
      </c>
      <c r="DW17" s="103">
        <f t="shared" si="10"/>
        <v>0.99721565140367552</v>
      </c>
      <c r="DX17" s="103">
        <f t="shared" si="10"/>
        <v>0.99721565140367552</v>
      </c>
      <c r="DY17" s="103">
        <f t="shared" si="10"/>
        <v>0.99721565140367552</v>
      </c>
      <c r="DZ17" s="103">
        <f t="shared" si="10"/>
        <v>0.99721565140367552</v>
      </c>
      <c r="EA17" s="103">
        <f t="shared" si="10"/>
        <v>0.99721565140367552</v>
      </c>
      <c r="EB17" s="103">
        <f t="shared" si="10"/>
        <v>0.99721565140367552</v>
      </c>
      <c r="EC17" s="103">
        <f t="shared" ref="EC17:EE17" si="11">EC7/$B$7</f>
        <v>0.99721565140367552</v>
      </c>
      <c r="ED17" s="103">
        <f t="shared" si="11"/>
        <v>0.99721565140367552</v>
      </c>
      <c r="EE17" s="103">
        <f t="shared" si="11"/>
        <v>0.99721565140367552</v>
      </c>
    </row>
    <row r="18" spans="1:135" s="23" customFormat="1" ht="21" customHeight="1" x14ac:dyDescent="0.2">
      <c r="C18" s="22" t="s">
        <v>106</v>
      </c>
      <c r="D18" s="103">
        <f>D8/$B$8</f>
        <v>1</v>
      </c>
      <c r="E18" s="103">
        <f t="shared" ref="E18:BP18" si="12">E8/$B$8</f>
        <v>1</v>
      </c>
      <c r="F18" s="103">
        <f t="shared" si="12"/>
        <v>1</v>
      </c>
      <c r="G18" s="103">
        <f t="shared" si="12"/>
        <v>1</v>
      </c>
      <c r="H18" s="103">
        <f t="shared" si="12"/>
        <v>1</v>
      </c>
      <c r="I18" s="103">
        <f t="shared" si="12"/>
        <v>1</v>
      </c>
      <c r="J18" s="103">
        <f t="shared" si="12"/>
        <v>1</v>
      </c>
      <c r="K18" s="103">
        <f t="shared" si="12"/>
        <v>1</v>
      </c>
      <c r="L18" s="103">
        <f t="shared" si="12"/>
        <v>1</v>
      </c>
      <c r="M18" s="103">
        <f t="shared" si="12"/>
        <v>1</v>
      </c>
      <c r="N18" s="103">
        <f t="shared" si="12"/>
        <v>1</v>
      </c>
      <c r="O18" s="103">
        <f t="shared" si="12"/>
        <v>1</v>
      </c>
      <c r="P18" s="103">
        <f t="shared" si="12"/>
        <v>1</v>
      </c>
      <c r="Q18" s="103">
        <f t="shared" si="12"/>
        <v>1</v>
      </c>
      <c r="R18" s="103">
        <f t="shared" si="12"/>
        <v>1</v>
      </c>
      <c r="S18" s="103">
        <f t="shared" si="12"/>
        <v>1</v>
      </c>
      <c r="T18" s="103">
        <f t="shared" si="12"/>
        <v>1</v>
      </c>
      <c r="U18" s="103">
        <f t="shared" si="12"/>
        <v>1</v>
      </c>
      <c r="V18" s="103">
        <f t="shared" si="12"/>
        <v>1</v>
      </c>
      <c r="W18" s="103">
        <f t="shared" si="12"/>
        <v>1</v>
      </c>
      <c r="X18" s="103">
        <f t="shared" si="12"/>
        <v>1</v>
      </c>
      <c r="Y18" s="103">
        <f t="shared" si="12"/>
        <v>1</v>
      </c>
      <c r="Z18" s="103">
        <f t="shared" si="12"/>
        <v>1</v>
      </c>
      <c r="AA18" s="103">
        <f t="shared" si="12"/>
        <v>1</v>
      </c>
      <c r="AB18" s="103">
        <f t="shared" si="12"/>
        <v>1</v>
      </c>
      <c r="AC18" s="103">
        <f t="shared" si="12"/>
        <v>1</v>
      </c>
      <c r="AD18" s="103">
        <f t="shared" si="12"/>
        <v>1</v>
      </c>
      <c r="AE18" s="103">
        <f t="shared" si="12"/>
        <v>1</v>
      </c>
      <c r="AF18" s="103">
        <f t="shared" si="12"/>
        <v>1</v>
      </c>
      <c r="AG18" s="103">
        <f t="shared" si="12"/>
        <v>1</v>
      </c>
      <c r="AH18" s="103">
        <f t="shared" si="12"/>
        <v>1</v>
      </c>
      <c r="AI18" s="103">
        <f t="shared" si="12"/>
        <v>1</v>
      </c>
      <c r="AJ18" s="103">
        <f t="shared" si="12"/>
        <v>1</v>
      </c>
      <c r="AK18" s="103">
        <f t="shared" si="12"/>
        <v>1</v>
      </c>
      <c r="AL18" s="103">
        <f t="shared" si="12"/>
        <v>1</v>
      </c>
      <c r="AM18" s="103">
        <f t="shared" si="12"/>
        <v>1</v>
      </c>
      <c r="AN18" s="103">
        <f t="shared" si="12"/>
        <v>1</v>
      </c>
      <c r="AO18" s="103">
        <f t="shared" si="12"/>
        <v>1</v>
      </c>
      <c r="AP18" s="103">
        <f t="shared" si="12"/>
        <v>1</v>
      </c>
      <c r="AQ18" s="103">
        <f t="shared" si="12"/>
        <v>1</v>
      </c>
      <c r="AR18" s="103">
        <f t="shared" si="12"/>
        <v>1</v>
      </c>
      <c r="AS18" s="103">
        <f t="shared" si="12"/>
        <v>1</v>
      </c>
      <c r="AT18" s="103">
        <f t="shared" si="12"/>
        <v>1</v>
      </c>
      <c r="AU18" s="103">
        <f t="shared" si="12"/>
        <v>1</v>
      </c>
      <c r="AV18" s="103">
        <f t="shared" si="12"/>
        <v>1</v>
      </c>
      <c r="AW18" s="103">
        <f t="shared" si="12"/>
        <v>1</v>
      </c>
      <c r="AX18" s="103">
        <f t="shared" si="12"/>
        <v>1</v>
      </c>
      <c r="AY18" s="103">
        <f t="shared" si="12"/>
        <v>1</v>
      </c>
      <c r="AZ18" s="103">
        <f t="shared" si="12"/>
        <v>1</v>
      </c>
      <c r="BA18" s="103">
        <f t="shared" si="12"/>
        <v>1</v>
      </c>
      <c r="BB18" s="103">
        <f t="shared" si="12"/>
        <v>1</v>
      </c>
      <c r="BC18" s="103">
        <f t="shared" si="12"/>
        <v>1</v>
      </c>
      <c r="BD18" s="103">
        <f t="shared" si="12"/>
        <v>1</v>
      </c>
      <c r="BE18" s="103">
        <f t="shared" si="12"/>
        <v>1</v>
      </c>
      <c r="BF18" s="103">
        <f t="shared" si="12"/>
        <v>1</v>
      </c>
      <c r="BG18" s="103">
        <f t="shared" si="12"/>
        <v>1</v>
      </c>
      <c r="BH18" s="103">
        <f t="shared" si="12"/>
        <v>1</v>
      </c>
      <c r="BI18" s="103">
        <f t="shared" si="12"/>
        <v>1</v>
      </c>
      <c r="BJ18" s="103">
        <f t="shared" si="12"/>
        <v>1</v>
      </c>
      <c r="BK18" s="103">
        <f t="shared" si="12"/>
        <v>1</v>
      </c>
      <c r="BL18" s="103">
        <f t="shared" si="12"/>
        <v>1</v>
      </c>
      <c r="BM18" s="103">
        <f t="shared" si="12"/>
        <v>1</v>
      </c>
      <c r="BN18" s="103">
        <f t="shared" si="12"/>
        <v>1</v>
      </c>
      <c r="BO18" s="103">
        <f t="shared" si="12"/>
        <v>1</v>
      </c>
      <c r="BP18" s="103">
        <f t="shared" si="12"/>
        <v>1</v>
      </c>
      <c r="BQ18" s="103">
        <f t="shared" ref="BQ18:EB18" si="13">BQ8/$B$8</f>
        <v>1</v>
      </c>
      <c r="BR18" s="103">
        <f t="shared" si="13"/>
        <v>1</v>
      </c>
      <c r="BS18" s="103">
        <f t="shared" si="13"/>
        <v>1</v>
      </c>
      <c r="BT18" s="103">
        <f t="shared" si="13"/>
        <v>1</v>
      </c>
      <c r="BU18" s="103">
        <f t="shared" si="13"/>
        <v>1</v>
      </c>
      <c r="BV18" s="103">
        <f t="shared" si="13"/>
        <v>1</v>
      </c>
      <c r="BW18" s="103">
        <f t="shared" si="13"/>
        <v>1</v>
      </c>
      <c r="BX18" s="103">
        <f t="shared" si="13"/>
        <v>1</v>
      </c>
      <c r="BY18" s="103">
        <f t="shared" si="13"/>
        <v>1</v>
      </c>
      <c r="BZ18" s="103">
        <f t="shared" si="13"/>
        <v>1</v>
      </c>
      <c r="CA18" s="103">
        <f t="shared" si="13"/>
        <v>1</v>
      </c>
      <c r="CB18" s="103">
        <f t="shared" si="13"/>
        <v>1</v>
      </c>
      <c r="CC18" s="103">
        <f t="shared" si="13"/>
        <v>1</v>
      </c>
      <c r="CD18" s="103">
        <f t="shared" si="13"/>
        <v>1</v>
      </c>
      <c r="CE18" s="103">
        <f t="shared" si="13"/>
        <v>1</v>
      </c>
      <c r="CF18" s="103">
        <f t="shared" si="13"/>
        <v>1</v>
      </c>
      <c r="CG18" s="103">
        <f t="shared" si="13"/>
        <v>1</v>
      </c>
      <c r="CH18" s="103">
        <f t="shared" si="13"/>
        <v>1</v>
      </c>
      <c r="CI18" s="103">
        <f t="shared" si="13"/>
        <v>1</v>
      </c>
      <c r="CJ18" s="103">
        <f t="shared" si="13"/>
        <v>1</v>
      </c>
      <c r="CK18" s="103">
        <f t="shared" si="13"/>
        <v>1</v>
      </c>
      <c r="CL18" s="103">
        <f t="shared" si="13"/>
        <v>1</v>
      </c>
      <c r="CM18" s="103">
        <f t="shared" si="13"/>
        <v>1</v>
      </c>
      <c r="CN18" s="103">
        <f t="shared" si="13"/>
        <v>1</v>
      </c>
      <c r="CO18" s="103">
        <f t="shared" si="13"/>
        <v>1</v>
      </c>
      <c r="CP18" s="103">
        <f t="shared" si="13"/>
        <v>1</v>
      </c>
      <c r="CQ18" s="103">
        <f t="shared" si="13"/>
        <v>1</v>
      </c>
      <c r="CR18" s="103">
        <f t="shared" si="13"/>
        <v>1</v>
      </c>
      <c r="CS18" s="103">
        <f t="shared" si="13"/>
        <v>1</v>
      </c>
      <c r="CT18" s="103">
        <f t="shared" si="13"/>
        <v>1</v>
      </c>
      <c r="CU18" s="103">
        <f t="shared" si="13"/>
        <v>1</v>
      </c>
      <c r="CV18" s="103">
        <f t="shared" si="13"/>
        <v>1</v>
      </c>
      <c r="CW18" s="103">
        <f t="shared" si="13"/>
        <v>1</v>
      </c>
      <c r="CX18" s="103">
        <f t="shared" si="13"/>
        <v>1</v>
      </c>
      <c r="CY18" s="103">
        <f t="shared" si="13"/>
        <v>1</v>
      </c>
      <c r="CZ18" s="103">
        <f t="shared" si="13"/>
        <v>1</v>
      </c>
      <c r="DA18" s="103">
        <f t="shared" si="13"/>
        <v>1</v>
      </c>
      <c r="DB18" s="103">
        <f t="shared" si="13"/>
        <v>1</v>
      </c>
      <c r="DC18" s="103">
        <f t="shared" si="13"/>
        <v>1</v>
      </c>
      <c r="DD18" s="103">
        <f t="shared" si="13"/>
        <v>1</v>
      </c>
      <c r="DE18" s="103">
        <f t="shared" si="13"/>
        <v>1</v>
      </c>
      <c r="DF18" s="103">
        <f t="shared" si="13"/>
        <v>1</v>
      </c>
      <c r="DG18" s="103">
        <f t="shared" si="13"/>
        <v>1</v>
      </c>
      <c r="DH18" s="103">
        <f t="shared" si="13"/>
        <v>1</v>
      </c>
      <c r="DI18" s="103">
        <f t="shared" si="13"/>
        <v>1</v>
      </c>
      <c r="DJ18" s="103">
        <f t="shared" si="13"/>
        <v>1</v>
      </c>
      <c r="DK18" s="103">
        <f t="shared" si="13"/>
        <v>1</v>
      </c>
      <c r="DL18" s="103">
        <f t="shared" si="13"/>
        <v>1</v>
      </c>
      <c r="DM18" s="103">
        <f t="shared" si="13"/>
        <v>1</v>
      </c>
      <c r="DN18" s="103">
        <f t="shared" si="13"/>
        <v>1</v>
      </c>
      <c r="DO18" s="103">
        <f t="shared" si="13"/>
        <v>1</v>
      </c>
      <c r="DP18" s="103">
        <f t="shared" si="13"/>
        <v>1</v>
      </c>
      <c r="DQ18" s="103">
        <f t="shared" si="13"/>
        <v>1</v>
      </c>
      <c r="DR18" s="103">
        <f t="shared" si="13"/>
        <v>1</v>
      </c>
      <c r="DS18" s="103">
        <f t="shared" si="13"/>
        <v>1</v>
      </c>
      <c r="DT18" s="103">
        <f t="shared" si="13"/>
        <v>1</v>
      </c>
      <c r="DU18" s="103">
        <f t="shared" si="13"/>
        <v>1</v>
      </c>
      <c r="DV18" s="103">
        <f t="shared" si="13"/>
        <v>1</v>
      </c>
      <c r="DW18" s="103">
        <f t="shared" si="13"/>
        <v>1</v>
      </c>
      <c r="DX18" s="103">
        <f t="shared" si="13"/>
        <v>1</v>
      </c>
      <c r="DY18" s="103">
        <f t="shared" si="13"/>
        <v>1</v>
      </c>
      <c r="DZ18" s="103">
        <f t="shared" si="13"/>
        <v>1</v>
      </c>
      <c r="EA18" s="103">
        <f t="shared" si="13"/>
        <v>1</v>
      </c>
      <c r="EB18" s="103">
        <f t="shared" si="13"/>
        <v>1</v>
      </c>
      <c r="EC18" s="103">
        <f t="shared" ref="EC18:EE18" si="14">EC8/$B$8</f>
        <v>1</v>
      </c>
      <c r="ED18" s="103">
        <f t="shared" si="14"/>
        <v>1</v>
      </c>
      <c r="EE18" s="103">
        <f t="shared" si="14"/>
        <v>1</v>
      </c>
    </row>
    <row r="19" spans="1:135" ht="21" customHeight="1" x14ac:dyDescent="0.2">
      <c r="C19" s="22" t="s">
        <v>67</v>
      </c>
      <c r="D19" s="112">
        <f>D9/$B$9</f>
        <v>0.76189276552363494</v>
      </c>
      <c r="E19" s="112">
        <f t="shared" ref="E19:BP19" si="15">E9/$B$9</f>
        <v>0.76189276552363494</v>
      </c>
      <c r="F19" s="112">
        <f t="shared" si="15"/>
        <v>0.75805404103456542</v>
      </c>
      <c r="G19" s="112">
        <f t="shared" si="15"/>
        <v>0.75805404103456542</v>
      </c>
      <c r="H19" s="112">
        <f t="shared" si="15"/>
        <v>0.760152467557628</v>
      </c>
      <c r="I19" s="112">
        <f t="shared" si="15"/>
        <v>0.760152467557628</v>
      </c>
      <c r="J19" s="112">
        <f t="shared" si="15"/>
        <v>0.83412916558402639</v>
      </c>
      <c r="K19" s="112">
        <f t="shared" si="15"/>
        <v>0.85791971618663621</v>
      </c>
      <c r="L19" s="112">
        <f t="shared" si="15"/>
        <v>0.85791971618663621</v>
      </c>
      <c r="M19" s="112">
        <f t="shared" si="15"/>
        <v>0.87666883021989206</v>
      </c>
      <c r="N19" s="112">
        <f t="shared" si="15"/>
        <v>0.87015466923230411</v>
      </c>
      <c r="O19" s="112">
        <f t="shared" si="15"/>
        <v>0.87760288685774557</v>
      </c>
      <c r="P19" s="112">
        <f t="shared" si="15"/>
        <v>0.89164010584433673</v>
      </c>
      <c r="Q19" s="112">
        <f t="shared" si="15"/>
        <v>0.89106988621603878</v>
      </c>
      <c r="R19" s="112">
        <f t="shared" si="15"/>
        <v>0.89106988621603878</v>
      </c>
      <c r="S19" s="112">
        <f t="shared" si="15"/>
        <v>0.89518122918157716</v>
      </c>
      <c r="T19" s="112">
        <f t="shared" si="15"/>
        <v>0.89518122918157716</v>
      </c>
      <c r="U19" s="112">
        <f t="shared" si="15"/>
        <v>0.89518122918157716</v>
      </c>
      <c r="V19" s="112">
        <f t="shared" si="15"/>
        <v>0.89932839187784264</v>
      </c>
      <c r="W19" s="112">
        <f t="shared" si="15"/>
        <v>0.89932839187784264</v>
      </c>
      <c r="X19" s="112">
        <f t="shared" si="15"/>
        <v>0.89932839187784264</v>
      </c>
      <c r="Y19" s="112">
        <f t="shared" si="15"/>
        <v>0.89932839187784264</v>
      </c>
      <c r="Z19" s="112">
        <f t="shared" si="15"/>
        <v>0.89932839187784264</v>
      </c>
      <c r="AA19" s="112">
        <f t="shared" si="15"/>
        <v>0.89932839187784264</v>
      </c>
      <c r="AB19" s="112">
        <f t="shared" si="15"/>
        <v>0.89932839187784264</v>
      </c>
      <c r="AC19" s="112">
        <f t="shared" si="15"/>
        <v>0.89932839187784264</v>
      </c>
      <c r="AD19" s="112">
        <f t="shared" si="15"/>
        <v>0.89932839187784264</v>
      </c>
      <c r="AE19" s="112">
        <f t="shared" si="15"/>
        <v>0.89932839187784264</v>
      </c>
      <c r="AF19" s="112">
        <f t="shared" si="15"/>
        <v>0.8946501826205</v>
      </c>
      <c r="AG19" s="112">
        <f t="shared" si="15"/>
        <v>0.8946501826205</v>
      </c>
      <c r="AH19" s="112">
        <f t="shared" si="15"/>
        <v>0.8946501826205</v>
      </c>
      <c r="AI19" s="112">
        <f t="shared" si="15"/>
        <v>0.8946501826205</v>
      </c>
      <c r="AJ19" s="112">
        <f t="shared" si="15"/>
        <v>0.8946501826205</v>
      </c>
      <c r="AK19" s="112">
        <f t="shared" si="15"/>
        <v>0.8946501826205</v>
      </c>
      <c r="AL19" s="112">
        <f t="shared" si="15"/>
        <v>0.89468066749771458</v>
      </c>
      <c r="AM19" s="112">
        <f t="shared" si="15"/>
        <v>0.89468066749771458</v>
      </c>
      <c r="AN19" s="112">
        <f t="shared" si="15"/>
        <v>0.89468066749771458</v>
      </c>
      <c r="AO19" s="112">
        <f t="shared" si="15"/>
        <v>0.89468066749771458</v>
      </c>
      <c r="AP19" s="112">
        <f t="shared" si="15"/>
        <v>0.89468066749771458</v>
      </c>
      <c r="AQ19" s="112">
        <f t="shared" si="15"/>
        <v>0.89468066749771458</v>
      </c>
      <c r="AR19" s="112">
        <f t="shared" si="15"/>
        <v>0.89258224097465189</v>
      </c>
      <c r="AS19" s="112">
        <f t="shared" si="15"/>
        <v>0.89258224097465189</v>
      </c>
      <c r="AT19" s="112">
        <f t="shared" si="15"/>
        <v>0.89050957417283561</v>
      </c>
      <c r="AU19" s="112">
        <f t="shared" si="15"/>
        <v>0.89050957417283561</v>
      </c>
      <c r="AV19" s="112">
        <f t="shared" si="15"/>
        <v>0.89050957417283561</v>
      </c>
      <c r="AW19" s="112">
        <f t="shared" si="15"/>
        <v>0.89050957417283561</v>
      </c>
      <c r="AX19" s="112">
        <f t="shared" si="15"/>
        <v>0.89050957417283561</v>
      </c>
      <c r="AY19" s="112">
        <f t="shared" si="15"/>
        <v>0.89050957417283561</v>
      </c>
      <c r="AZ19" s="112">
        <f t="shared" si="15"/>
        <v>0.89698777569198873</v>
      </c>
      <c r="BA19" s="112">
        <f t="shared" si="15"/>
        <v>0.89698777569198873</v>
      </c>
      <c r="BB19" s="112">
        <f t="shared" si="15"/>
        <v>0.89698777569198873</v>
      </c>
      <c r="BC19" s="112">
        <f t="shared" si="15"/>
        <v>0.89698777569198873</v>
      </c>
      <c r="BD19" s="112">
        <f t="shared" si="15"/>
        <v>0.89698777569198873</v>
      </c>
      <c r="BE19" s="112">
        <f t="shared" si="15"/>
        <v>0.89698777569198873</v>
      </c>
      <c r="BF19" s="112">
        <f t="shared" si="15"/>
        <v>0.89698777569198873</v>
      </c>
      <c r="BG19" s="112">
        <f t="shared" si="15"/>
        <v>0.89698777569198873</v>
      </c>
      <c r="BH19" s="112">
        <f t="shared" si="15"/>
        <v>0.84980556910512139</v>
      </c>
      <c r="BI19" s="112">
        <f t="shared" si="15"/>
        <v>0.84980556910512139</v>
      </c>
      <c r="BJ19" s="112">
        <f t="shared" si="15"/>
        <v>0.84980556910512139</v>
      </c>
      <c r="BK19" s="112">
        <f t="shared" si="15"/>
        <v>0.84980556910512139</v>
      </c>
      <c r="BL19" s="112">
        <f t="shared" si="15"/>
        <v>0.88348404518333434</v>
      </c>
      <c r="BM19" s="112">
        <f t="shared" si="15"/>
        <v>0.88348404518333434</v>
      </c>
      <c r="BN19" s="112">
        <f t="shared" si="15"/>
        <v>0.88348404518333434</v>
      </c>
      <c r="BO19" s="112">
        <f t="shared" si="15"/>
        <v>0.88348404518333434</v>
      </c>
      <c r="BP19" s="112">
        <f t="shared" si="15"/>
        <v>0.88348404518333434</v>
      </c>
      <c r="BQ19" s="112">
        <f t="shared" ref="BQ19:EB19" si="16">BQ9/$B$9</f>
        <v>0.88348404518333434</v>
      </c>
      <c r="BR19" s="112">
        <f t="shared" si="16"/>
        <v>0.88348404518333434</v>
      </c>
      <c r="BS19" s="112">
        <f t="shared" si="16"/>
        <v>0.88348404518333434</v>
      </c>
      <c r="BT19" s="112">
        <f t="shared" si="16"/>
        <v>0.88348404518333434</v>
      </c>
      <c r="BU19" s="112">
        <f t="shared" si="16"/>
        <v>0.88348404518333434</v>
      </c>
      <c r="BV19" s="112">
        <f t="shared" si="16"/>
        <v>0.88348404518333434</v>
      </c>
      <c r="BW19" s="112">
        <f t="shared" si="16"/>
        <v>0.88348404518333434</v>
      </c>
      <c r="BX19" s="112">
        <f t="shared" si="16"/>
        <v>0.89542512401265417</v>
      </c>
      <c r="BY19" s="112">
        <f t="shared" si="16"/>
        <v>0.89542512401265417</v>
      </c>
      <c r="BZ19" s="112">
        <f t="shared" si="16"/>
        <v>0.89542512401265417</v>
      </c>
      <c r="CA19" s="112">
        <f t="shared" si="16"/>
        <v>0.89104536170324189</v>
      </c>
      <c r="CB19" s="112">
        <f t="shared" si="16"/>
        <v>0.89524206232498094</v>
      </c>
      <c r="CC19" s="112">
        <f t="shared" si="16"/>
        <v>0.89524206232498094</v>
      </c>
      <c r="CD19" s="112">
        <f t="shared" si="16"/>
        <v>0.89938922502124641</v>
      </c>
      <c r="CE19" s="112">
        <f t="shared" si="16"/>
        <v>0.89519252439950736</v>
      </c>
      <c r="CF19" s="112">
        <f t="shared" si="16"/>
        <v>0.89519252439950736</v>
      </c>
      <c r="CG19" s="112">
        <f t="shared" si="16"/>
        <v>0.89309638424223592</v>
      </c>
      <c r="CH19" s="112">
        <f t="shared" si="16"/>
        <v>0.89309638424223592</v>
      </c>
      <c r="CI19" s="112">
        <f t="shared" si="16"/>
        <v>0.89309638424223592</v>
      </c>
      <c r="CJ19" s="112">
        <f t="shared" si="16"/>
        <v>0.87700814271665062</v>
      </c>
      <c r="CK19" s="112">
        <f t="shared" si="16"/>
        <v>0.87700814271665062</v>
      </c>
      <c r="CL19" s="112">
        <f t="shared" si="16"/>
        <v>0.87700814271665062</v>
      </c>
      <c r="CM19" s="112">
        <f t="shared" si="16"/>
        <v>0.87700814271665062</v>
      </c>
      <c r="CN19" s="112">
        <f t="shared" si="16"/>
        <v>0.87700814271665062</v>
      </c>
      <c r="CO19" s="112">
        <f t="shared" si="16"/>
        <v>0.87700814271665062</v>
      </c>
      <c r="CP19" s="112">
        <f t="shared" si="16"/>
        <v>0.900598560100347</v>
      </c>
      <c r="CQ19" s="112">
        <f t="shared" si="16"/>
        <v>0.900598560100347</v>
      </c>
      <c r="CR19" s="112">
        <f t="shared" si="16"/>
        <v>0.900598560100347</v>
      </c>
      <c r="CS19" s="112">
        <f t="shared" si="16"/>
        <v>0.900598560100347</v>
      </c>
      <c r="CT19" s="112">
        <f t="shared" si="16"/>
        <v>0.900598560100347</v>
      </c>
      <c r="CU19" s="112">
        <f t="shared" si="16"/>
        <v>0.900598560100347</v>
      </c>
      <c r="CV19" s="112">
        <f t="shared" si="16"/>
        <v>0.900598560100347</v>
      </c>
      <c r="CW19" s="112">
        <f t="shared" si="16"/>
        <v>0.900598560100347</v>
      </c>
      <c r="CX19" s="112">
        <f t="shared" si="16"/>
        <v>0.900598560100347</v>
      </c>
      <c r="CY19" s="112">
        <f t="shared" si="16"/>
        <v>0.900598560100347</v>
      </c>
      <c r="CZ19" s="112">
        <f t="shared" si="16"/>
        <v>0.900598560100347</v>
      </c>
      <c r="DA19" s="112">
        <f t="shared" si="16"/>
        <v>0.900598560100347</v>
      </c>
      <c r="DB19" s="112">
        <f t="shared" si="16"/>
        <v>0.900598560100347</v>
      </c>
      <c r="DC19" s="112">
        <f t="shared" si="16"/>
        <v>0.900598560100347</v>
      </c>
      <c r="DD19" s="112">
        <f t="shared" si="16"/>
        <v>0.900598560100347</v>
      </c>
      <c r="DE19" s="112">
        <f t="shared" si="16"/>
        <v>0.900598560100347</v>
      </c>
      <c r="DF19" s="112">
        <f t="shared" si="16"/>
        <v>0.900598560100347</v>
      </c>
      <c r="DG19" s="112">
        <f t="shared" si="16"/>
        <v>0.900598560100347</v>
      </c>
      <c r="DH19" s="112">
        <f t="shared" si="16"/>
        <v>0.900598560100347</v>
      </c>
      <c r="DI19" s="112">
        <f t="shared" si="16"/>
        <v>0.900598560100347</v>
      </c>
      <c r="DJ19" s="112">
        <f t="shared" si="16"/>
        <v>0.900598560100347</v>
      </c>
      <c r="DK19" s="112">
        <f t="shared" si="16"/>
        <v>0.900598560100347</v>
      </c>
      <c r="DL19" s="112">
        <f t="shared" si="16"/>
        <v>0.900598560100347</v>
      </c>
      <c r="DM19" s="112">
        <f t="shared" si="16"/>
        <v>0.900598560100347</v>
      </c>
      <c r="DN19" s="112">
        <f t="shared" si="16"/>
        <v>0.900598560100347</v>
      </c>
      <c r="DO19" s="112">
        <f t="shared" si="16"/>
        <v>0.900598560100347</v>
      </c>
      <c r="DP19" s="112">
        <f t="shared" si="16"/>
        <v>0.900598560100347</v>
      </c>
      <c r="DQ19" s="112">
        <f t="shared" si="16"/>
        <v>0.900598560100347</v>
      </c>
      <c r="DR19" s="112">
        <f t="shared" si="16"/>
        <v>0.900598560100347</v>
      </c>
      <c r="DS19" s="112">
        <f t="shared" si="16"/>
        <v>0.900598560100347</v>
      </c>
      <c r="DT19" s="112">
        <f t="shared" si="16"/>
        <v>0.900598560100347</v>
      </c>
      <c r="DU19" s="112">
        <f t="shared" si="16"/>
        <v>0.900598560100347</v>
      </c>
      <c r="DV19" s="112">
        <f t="shared" si="16"/>
        <v>0.900598560100347</v>
      </c>
      <c r="DW19" s="112">
        <f t="shared" si="16"/>
        <v>0.900598560100347</v>
      </c>
      <c r="DX19" s="112">
        <f t="shared" si="16"/>
        <v>0.900598560100347</v>
      </c>
      <c r="DY19" s="112">
        <f t="shared" si="16"/>
        <v>0.900598560100347</v>
      </c>
      <c r="DZ19" s="112">
        <f t="shared" si="16"/>
        <v>0.900598560100347</v>
      </c>
      <c r="EA19" s="112">
        <f t="shared" si="16"/>
        <v>0.900598560100347</v>
      </c>
      <c r="EB19" s="112">
        <f t="shared" si="16"/>
        <v>0.900598560100347</v>
      </c>
      <c r="EC19" s="112">
        <f t="shared" ref="EC19:EE19" si="17">EC9/$B$9</f>
        <v>0.900598560100347</v>
      </c>
      <c r="ED19" s="112">
        <f t="shared" si="17"/>
        <v>0.900598560100347</v>
      </c>
      <c r="EE19" s="112">
        <f t="shared" si="17"/>
        <v>0.900598560100347</v>
      </c>
    </row>
    <row r="20" spans="1:135" ht="21" customHeight="1" x14ac:dyDescent="0.2">
      <c r="D20" s="96">
        <f>AVERAGE($D$19:$O$19)</f>
        <v>0.81121612770824159</v>
      </c>
      <c r="E20" s="96">
        <f t="shared" ref="E20:O20" si="18">AVERAGE($D$19:$O$19)</f>
        <v>0.81121612770824159</v>
      </c>
      <c r="F20" s="96">
        <f t="shared" si="18"/>
        <v>0.81121612770824159</v>
      </c>
      <c r="G20" s="96">
        <f t="shared" si="18"/>
        <v>0.81121612770824159</v>
      </c>
      <c r="H20" s="96">
        <f t="shared" si="18"/>
        <v>0.81121612770824159</v>
      </c>
      <c r="I20" s="96">
        <f t="shared" si="18"/>
        <v>0.81121612770824159</v>
      </c>
      <c r="J20" s="96">
        <f t="shared" si="18"/>
        <v>0.81121612770824159</v>
      </c>
      <c r="K20" s="96">
        <f t="shared" si="18"/>
        <v>0.81121612770824159</v>
      </c>
      <c r="L20" s="96">
        <f t="shared" si="18"/>
        <v>0.81121612770824159</v>
      </c>
      <c r="M20" s="96">
        <f t="shared" si="18"/>
        <v>0.81121612770824159</v>
      </c>
      <c r="N20" s="96">
        <f t="shared" si="18"/>
        <v>0.81121612770824159</v>
      </c>
      <c r="O20" s="96">
        <f t="shared" si="18"/>
        <v>0.81121612770824159</v>
      </c>
      <c r="P20" s="96">
        <f>AVERAGE($P$19:$AA$19)</f>
        <v>0.89627449309068341</v>
      </c>
      <c r="Q20" s="96">
        <f t="shared" ref="Q20:AA20" si="19">AVERAGE($P$19:$AA$19)</f>
        <v>0.89627449309068341</v>
      </c>
      <c r="R20" s="96">
        <f t="shared" si="19"/>
        <v>0.89627449309068341</v>
      </c>
      <c r="S20" s="96">
        <f t="shared" si="19"/>
        <v>0.89627449309068341</v>
      </c>
      <c r="T20" s="96">
        <f t="shared" si="19"/>
        <v>0.89627449309068341</v>
      </c>
      <c r="U20" s="96">
        <f t="shared" si="19"/>
        <v>0.89627449309068341</v>
      </c>
      <c r="V20" s="96">
        <f t="shared" si="19"/>
        <v>0.89627449309068341</v>
      </c>
      <c r="W20" s="96">
        <f t="shared" si="19"/>
        <v>0.89627449309068341</v>
      </c>
      <c r="X20" s="96">
        <f t="shared" si="19"/>
        <v>0.89627449309068341</v>
      </c>
      <c r="Y20" s="96">
        <f t="shared" si="19"/>
        <v>0.89627449309068341</v>
      </c>
      <c r="Z20" s="96">
        <f t="shared" si="19"/>
        <v>0.89627449309068341</v>
      </c>
      <c r="AA20" s="96">
        <f t="shared" si="19"/>
        <v>0.89627449309068341</v>
      </c>
      <c r="AB20" s="96">
        <f>AVERAGE($AB$19:$AM$19)</f>
        <v>0.89621466651915016</v>
      </c>
      <c r="AC20" s="96">
        <f t="shared" ref="AC20:AM20" si="20">AVERAGE($AB$19:$AM$19)</f>
        <v>0.89621466651915016</v>
      </c>
      <c r="AD20" s="96">
        <f t="shared" si="20"/>
        <v>0.89621466651915016</v>
      </c>
      <c r="AE20" s="96">
        <f t="shared" si="20"/>
        <v>0.89621466651915016</v>
      </c>
      <c r="AF20" s="96">
        <f t="shared" si="20"/>
        <v>0.89621466651915016</v>
      </c>
      <c r="AG20" s="96">
        <f t="shared" si="20"/>
        <v>0.89621466651915016</v>
      </c>
      <c r="AH20" s="96">
        <f t="shared" si="20"/>
        <v>0.89621466651915016</v>
      </c>
      <c r="AI20" s="96">
        <f t="shared" si="20"/>
        <v>0.89621466651915016</v>
      </c>
      <c r="AJ20" s="96">
        <f t="shared" si="20"/>
        <v>0.89621466651915016</v>
      </c>
      <c r="AK20" s="96">
        <f t="shared" si="20"/>
        <v>0.89621466651915016</v>
      </c>
      <c r="AL20" s="96">
        <f t="shared" si="20"/>
        <v>0.89621466651915016</v>
      </c>
      <c r="AM20" s="96">
        <f t="shared" si="20"/>
        <v>0.89621466651915016</v>
      </c>
      <c r="AN20" s="96">
        <f>AVERAGE($AN$19:$AY$19)</f>
        <v>0.89224538308143109</v>
      </c>
      <c r="AO20" s="96">
        <f t="shared" ref="AO20:AY20" si="21">AVERAGE($AN$19:$AY$19)</f>
        <v>0.89224538308143109</v>
      </c>
      <c r="AP20" s="96">
        <f t="shared" si="21"/>
        <v>0.89224538308143109</v>
      </c>
      <c r="AQ20" s="96">
        <f t="shared" si="21"/>
        <v>0.89224538308143109</v>
      </c>
      <c r="AR20" s="96">
        <f t="shared" si="21"/>
        <v>0.89224538308143109</v>
      </c>
      <c r="AS20" s="96">
        <f t="shared" si="21"/>
        <v>0.89224538308143109</v>
      </c>
      <c r="AT20" s="96">
        <f t="shared" si="21"/>
        <v>0.89224538308143109</v>
      </c>
      <c r="AU20" s="96">
        <f t="shared" si="21"/>
        <v>0.89224538308143109</v>
      </c>
      <c r="AV20" s="96">
        <f t="shared" si="21"/>
        <v>0.89224538308143109</v>
      </c>
      <c r="AW20" s="96">
        <f t="shared" si="21"/>
        <v>0.89224538308143109</v>
      </c>
      <c r="AX20" s="96">
        <f t="shared" si="21"/>
        <v>0.89224538308143109</v>
      </c>
      <c r="AY20" s="96">
        <f t="shared" si="21"/>
        <v>0.89224538308143109</v>
      </c>
      <c r="AZ20" s="96">
        <f>AVERAGE($AZ$19:$BK$19)</f>
        <v>0.88126037349636654</v>
      </c>
      <c r="BA20" s="96">
        <f t="shared" ref="BA20:BK20" si="22">AVERAGE($AZ$19:$BK$19)</f>
        <v>0.88126037349636654</v>
      </c>
      <c r="BB20" s="96">
        <f t="shared" si="22"/>
        <v>0.88126037349636654</v>
      </c>
      <c r="BC20" s="96">
        <f t="shared" si="22"/>
        <v>0.88126037349636654</v>
      </c>
      <c r="BD20" s="96">
        <f t="shared" si="22"/>
        <v>0.88126037349636654</v>
      </c>
      <c r="BE20" s="96">
        <f t="shared" si="22"/>
        <v>0.88126037349636654</v>
      </c>
      <c r="BF20" s="96">
        <f t="shared" si="22"/>
        <v>0.88126037349636654</v>
      </c>
      <c r="BG20" s="96">
        <f t="shared" si="22"/>
        <v>0.88126037349636654</v>
      </c>
      <c r="BH20" s="96">
        <f t="shared" si="22"/>
        <v>0.88126037349636654</v>
      </c>
      <c r="BI20" s="96">
        <f t="shared" si="22"/>
        <v>0.88126037349636654</v>
      </c>
      <c r="BJ20" s="96">
        <f t="shared" si="22"/>
        <v>0.88126037349636654</v>
      </c>
      <c r="BK20" s="96">
        <f t="shared" si="22"/>
        <v>0.88126037349636654</v>
      </c>
      <c r="BL20" s="96">
        <f>AVERAGE($BL$19:$BW$19)</f>
        <v>0.88348404518333423</v>
      </c>
      <c r="BM20" s="96">
        <f t="shared" ref="BM20:BW20" si="23">AVERAGE($BL$19:$BW$19)</f>
        <v>0.88348404518333423</v>
      </c>
      <c r="BN20" s="96">
        <f t="shared" si="23"/>
        <v>0.88348404518333423</v>
      </c>
      <c r="BO20" s="96">
        <f t="shared" si="23"/>
        <v>0.88348404518333423</v>
      </c>
      <c r="BP20" s="96">
        <f t="shared" si="23"/>
        <v>0.88348404518333423</v>
      </c>
      <c r="BQ20" s="96">
        <f t="shared" si="23"/>
        <v>0.88348404518333423</v>
      </c>
      <c r="BR20" s="96">
        <f t="shared" si="23"/>
        <v>0.88348404518333423</v>
      </c>
      <c r="BS20" s="96">
        <f t="shared" si="23"/>
        <v>0.88348404518333423</v>
      </c>
      <c r="BT20" s="96">
        <f t="shared" si="23"/>
        <v>0.88348404518333423</v>
      </c>
      <c r="BU20" s="96">
        <f t="shared" si="23"/>
        <v>0.88348404518333423</v>
      </c>
      <c r="BV20" s="96">
        <f t="shared" si="23"/>
        <v>0.88348404518333423</v>
      </c>
      <c r="BW20" s="96">
        <f t="shared" si="23"/>
        <v>0.88348404518333423</v>
      </c>
      <c r="BX20" s="96">
        <f>AVERAGE($BX$19:$CI$19)</f>
        <v>0.89473902374484471</v>
      </c>
      <c r="BY20" s="96">
        <f t="shared" ref="BY20:CI20" si="24">AVERAGE($BX$19:$CI$19)</f>
        <v>0.89473902374484471</v>
      </c>
      <c r="BZ20" s="96">
        <f t="shared" si="24"/>
        <v>0.89473902374484471</v>
      </c>
      <c r="CA20" s="96">
        <f t="shared" si="24"/>
        <v>0.89473902374484471</v>
      </c>
      <c r="CB20" s="96">
        <f t="shared" si="24"/>
        <v>0.89473902374484471</v>
      </c>
      <c r="CC20" s="96">
        <f t="shared" si="24"/>
        <v>0.89473902374484471</v>
      </c>
      <c r="CD20" s="96">
        <f t="shared" si="24"/>
        <v>0.89473902374484471</v>
      </c>
      <c r="CE20" s="96">
        <f t="shared" si="24"/>
        <v>0.89473902374484471</v>
      </c>
      <c r="CF20" s="96">
        <f t="shared" si="24"/>
        <v>0.89473902374484471</v>
      </c>
      <c r="CG20" s="96">
        <f t="shared" si="24"/>
        <v>0.89473902374484471</v>
      </c>
      <c r="CH20" s="96">
        <f t="shared" si="24"/>
        <v>0.89473902374484471</v>
      </c>
      <c r="CI20" s="96">
        <f t="shared" si="24"/>
        <v>0.89473902374484471</v>
      </c>
      <c r="CJ20" s="96">
        <f>AVERAGE($CJ$19:$CU$19)</f>
        <v>0.88880335140849887</v>
      </c>
      <c r="CK20" s="96">
        <f t="shared" ref="CK20:CU20" si="25">AVERAGE($CJ$19:$CU$19)</f>
        <v>0.88880335140849887</v>
      </c>
      <c r="CL20" s="96">
        <f t="shared" si="25"/>
        <v>0.88880335140849887</v>
      </c>
      <c r="CM20" s="96">
        <f t="shared" si="25"/>
        <v>0.88880335140849887</v>
      </c>
      <c r="CN20" s="96">
        <f t="shared" si="25"/>
        <v>0.88880335140849887</v>
      </c>
      <c r="CO20" s="96">
        <f t="shared" si="25"/>
        <v>0.88880335140849887</v>
      </c>
      <c r="CP20" s="96">
        <f t="shared" si="25"/>
        <v>0.88880335140849887</v>
      </c>
      <c r="CQ20" s="96">
        <f t="shared" si="25"/>
        <v>0.88880335140849887</v>
      </c>
      <c r="CR20" s="96">
        <f t="shared" si="25"/>
        <v>0.88880335140849887</v>
      </c>
      <c r="CS20" s="96">
        <f t="shared" si="25"/>
        <v>0.88880335140849887</v>
      </c>
      <c r="CT20" s="96">
        <f t="shared" si="25"/>
        <v>0.88880335140849887</v>
      </c>
      <c r="CU20" s="96">
        <f t="shared" si="25"/>
        <v>0.88880335140849887</v>
      </c>
      <c r="CV20" s="96">
        <f>AVERAGE($CV$19:$DG$19)</f>
        <v>0.900598560100347</v>
      </c>
      <c r="CW20" s="96">
        <f t="shared" ref="CW20:DG20" si="26">AVERAGE($CV$19:$DG$19)</f>
        <v>0.900598560100347</v>
      </c>
      <c r="CX20" s="96">
        <f t="shared" si="26"/>
        <v>0.900598560100347</v>
      </c>
      <c r="CY20" s="96">
        <f t="shared" si="26"/>
        <v>0.900598560100347</v>
      </c>
      <c r="CZ20" s="96">
        <f t="shared" si="26"/>
        <v>0.900598560100347</v>
      </c>
      <c r="DA20" s="96">
        <f t="shared" si="26"/>
        <v>0.900598560100347</v>
      </c>
      <c r="DB20" s="96">
        <f t="shared" si="26"/>
        <v>0.900598560100347</v>
      </c>
      <c r="DC20" s="96">
        <f t="shared" si="26"/>
        <v>0.900598560100347</v>
      </c>
      <c r="DD20" s="96">
        <f t="shared" si="26"/>
        <v>0.900598560100347</v>
      </c>
      <c r="DE20" s="96">
        <f t="shared" si="26"/>
        <v>0.900598560100347</v>
      </c>
      <c r="DF20" s="96">
        <f t="shared" si="26"/>
        <v>0.900598560100347</v>
      </c>
      <c r="DG20" s="96">
        <f t="shared" si="26"/>
        <v>0.900598560100347</v>
      </c>
      <c r="DH20" s="96">
        <f>AVERAGE($DH$19:$DS$19)</f>
        <v>0.900598560100347</v>
      </c>
      <c r="DI20" s="96">
        <f t="shared" ref="DI20:DS20" si="27">AVERAGE($DH$19:$DS$19)</f>
        <v>0.900598560100347</v>
      </c>
      <c r="DJ20" s="96">
        <f t="shared" si="27"/>
        <v>0.900598560100347</v>
      </c>
      <c r="DK20" s="96">
        <f t="shared" si="27"/>
        <v>0.900598560100347</v>
      </c>
      <c r="DL20" s="96">
        <f t="shared" si="27"/>
        <v>0.900598560100347</v>
      </c>
      <c r="DM20" s="96">
        <f t="shared" si="27"/>
        <v>0.900598560100347</v>
      </c>
      <c r="DN20" s="96">
        <f t="shared" si="27"/>
        <v>0.900598560100347</v>
      </c>
      <c r="DO20" s="96">
        <f t="shared" si="27"/>
        <v>0.900598560100347</v>
      </c>
      <c r="DP20" s="96">
        <f t="shared" si="27"/>
        <v>0.900598560100347</v>
      </c>
      <c r="DQ20" s="96">
        <f t="shared" si="27"/>
        <v>0.900598560100347</v>
      </c>
      <c r="DR20" s="96">
        <f t="shared" si="27"/>
        <v>0.900598560100347</v>
      </c>
      <c r="DS20" s="96">
        <f t="shared" si="27"/>
        <v>0.900598560100347</v>
      </c>
      <c r="DT20" s="96">
        <f>AVERAGE($DT$19:$EE$19)</f>
        <v>0.900598560100347</v>
      </c>
      <c r="DU20" s="96">
        <f t="shared" ref="DU20:EE20" si="28">AVERAGE($DT$19:$EE$19)</f>
        <v>0.900598560100347</v>
      </c>
      <c r="DV20" s="96">
        <f t="shared" si="28"/>
        <v>0.900598560100347</v>
      </c>
      <c r="DW20" s="96">
        <f t="shared" si="28"/>
        <v>0.900598560100347</v>
      </c>
      <c r="DX20" s="96">
        <f t="shared" si="28"/>
        <v>0.900598560100347</v>
      </c>
      <c r="DY20" s="96">
        <f t="shared" si="28"/>
        <v>0.900598560100347</v>
      </c>
      <c r="DZ20" s="96">
        <f t="shared" si="28"/>
        <v>0.900598560100347</v>
      </c>
      <c r="EA20" s="96">
        <f t="shared" si="28"/>
        <v>0.900598560100347</v>
      </c>
      <c r="EB20" s="96">
        <f t="shared" si="28"/>
        <v>0.900598560100347</v>
      </c>
      <c r="EC20" s="96">
        <f t="shared" si="28"/>
        <v>0.900598560100347</v>
      </c>
      <c r="ED20" s="96">
        <f t="shared" si="28"/>
        <v>0.900598560100347</v>
      </c>
      <c r="EE20" s="96">
        <f t="shared" si="28"/>
        <v>0.900598560100347</v>
      </c>
    </row>
    <row r="30" spans="1:135" x14ac:dyDescent="0.2">
      <c r="A30" s="113"/>
      <c r="B30" s="113"/>
      <c r="C30" s="114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</row>
    <row r="31" spans="1:135" x14ac:dyDescent="0.2">
      <c r="A31" s="113"/>
      <c r="B31" s="113"/>
      <c r="C31" s="114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</row>
    <row r="32" spans="1:135" x14ac:dyDescent="0.2">
      <c r="A32" s="113"/>
      <c r="B32" s="113"/>
      <c r="C32" s="114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</row>
    <row r="33" spans="1:62" x14ac:dyDescent="0.2">
      <c r="A33" s="113"/>
      <c r="B33" s="113"/>
      <c r="C33" s="114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</row>
    <row r="34" spans="1:62" x14ac:dyDescent="0.2">
      <c r="A34" s="113"/>
      <c r="B34" s="113"/>
      <c r="C34" s="114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</row>
    <row r="35" spans="1:62" x14ac:dyDescent="0.2">
      <c r="A35" s="113"/>
      <c r="B35" s="113"/>
      <c r="C35" s="114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</row>
    <row r="36" spans="1:62" x14ac:dyDescent="0.2">
      <c r="A36" s="113"/>
      <c r="B36" s="113"/>
      <c r="C36" s="114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</row>
    <row r="37" spans="1:62" x14ac:dyDescent="0.2">
      <c r="A37" s="113"/>
      <c r="B37" s="113"/>
      <c r="C37" s="114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</row>
    <row r="38" spans="1:62" x14ac:dyDescent="0.2">
      <c r="A38" s="113"/>
      <c r="B38" s="113"/>
      <c r="C38" s="114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</row>
    <row r="39" spans="1:62" x14ac:dyDescent="0.2">
      <c r="A39" s="113"/>
      <c r="B39" s="113"/>
      <c r="C39" s="114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</row>
    <row r="40" spans="1:62" x14ac:dyDescent="0.2">
      <c r="A40" s="113"/>
      <c r="B40" s="113"/>
      <c r="C40" s="114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</row>
    <row r="41" spans="1:62" x14ac:dyDescent="0.2">
      <c r="A41" s="113"/>
      <c r="B41" s="113"/>
      <c r="C41" s="114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</row>
    <row r="42" spans="1:62" x14ac:dyDescent="0.2">
      <c r="A42" s="113"/>
      <c r="B42" s="113"/>
      <c r="C42" s="114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</row>
    <row r="43" spans="1:62" x14ac:dyDescent="0.2">
      <c r="A43" s="113"/>
      <c r="B43" s="113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</row>
    <row r="44" spans="1:62" x14ac:dyDescent="0.2">
      <c r="A44" s="113"/>
      <c r="B44" s="113"/>
      <c r="C44" s="11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</row>
    <row r="45" spans="1:62" x14ac:dyDescent="0.2">
      <c r="A45" s="113"/>
      <c r="B45" s="113"/>
      <c r="C45" s="114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</row>
    <row r="46" spans="1:62" x14ac:dyDescent="0.2">
      <c r="A46" s="113"/>
      <c r="B46" s="113"/>
      <c r="C46" s="114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</row>
    <row r="47" spans="1:62" x14ac:dyDescent="0.2">
      <c r="A47" s="113"/>
      <c r="B47" s="113"/>
      <c r="C47" s="114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</row>
    <row r="48" spans="1:62" x14ac:dyDescent="0.2">
      <c r="A48" s="113"/>
      <c r="B48" s="113"/>
      <c r="C48" s="114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</row>
    <row r="49" spans="1:62" x14ac:dyDescent="0.2">
      <c r="A49" s="113"/>
      <c r="B49" s="113"/>
      <c r="C49" s="114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</row>
    <row r="50" spans="1:62" x14ac:dyDescent="0.2">
      <c r="A50" s="113"/>
      <c r="B50" s="113"/>
      <c r="C50" s="114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</row>
    <row r="51" spans="1:62" x14ac:dyDescent="0.2">
      <c r="A51" s="113"/>
      <c r="B51" s="113"/>
      <c r="C51" s="114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</row>
    <row r="52" spans="1:62" x14ac:dyDescent="0.2">
      <c r="A52" s="113"/>
      <c r="B52" s="113"/>
      <c r="C52" s="114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</row>
    <row r="53" spans="1:62" x14ac:dyDescent="0.2">
      <c r="A53" s="113"/>
      <c r="B53" s="113"/>
      <c r="C53" s="114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</row>
    <row r="54" spans="1:62" x14ac:dyDescent="0.2">
      <c r="A54" s="113"/>
      <c r="B54" s="113"/>
      <c r="C54" s="114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</row>
    <row r="55" spans="1:62" x14ac:dyDescent="0.2">
      <c r="A55" s="113"/>
      <c r="B55" s="113"/>
      <c r="C55" s="114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</row>
    <row r="56" spans="1:62" x14ac:dyDescent="0.2">
      <c r="A56" s="113"/>
      <c r="B56" s="113"/>
      <c r="C56" s="114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</row>
    <row r="57" spans="1:62" x14ac:dyDescent="0.2">
      <c r="A57" s="113"/>
      <c r="B57" s="113"/>
      <c r="C57" s="114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</row>
    <row r="58" spans="1:62" x14ac:dyDescent="0.2">
      <c r="A58" s="113"/>
      <c r="B58" s="113"/>
      <c r="C58" s="114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</row>
    <row r="59" spans="1:62" x14ac:dyDescent="0.2">
      <c r="A59" s="113"/>
      <c r="B59" s="113"/>
      <c r="C59" s="114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</row>
    <row r="60" spans="1:62" x14ac:dyDescent="0.2">
      <c r="A60" s="113"/>
      <c r="B60" s="113"/>
      <c r="C60" s="114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</row>
    <row r="61" spans="1:62" x14ac:dyDescent="0.2">
      <c r="A61" s="113"/>
      <c r="B61" s="113"/>
      <c r="C61" s="114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</row>
    <row r="62" spans="1:62" x14ac:dyDescent="0.2">
      <c r="A62" s="113"/>
      <c r="B62" s="113"/>
      <c r="C62" s="114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</row>
    <row r="63" spans="1:62" x14ac:dyDescent="0.2">
      <c r="A63" s="113"/>
      <c r="B63" s="113"/>
      <c r="C63" s="114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</row>
    <row r="64" spans="1:62" x14ac:dyDescent="0.2">
      <c r="A64" s="113"/>
      <c r="B64" s="113"/>
      <c r="C64" s="114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</row>
    <row r="65" spans="1:62" x14ac:dyDescent="0.2">
      <c r="A65" s="113"/>
      <c r="B65" s="113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</row>
    <row r="66" spans="1:62" x14ac:dyDescent="0.2">
      <c r="A66" s="113"/>
      <c r="B66" s="113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</row>
    <row r="67" spans="1:62" x14ac:dyDescent="0.2">
      <c r="A67" s="113"/>
      <c r="B67" s="113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</row>
    <row r="68" spans="1:62" x14ac:dyDescent="0.2">
      <c r="A68" s="113"/>
      <c r="B68" s="113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</row>
    <row r="69" spans="1:62" x14ac:dyDescent="0.2">
      <c r="A69" s="113"/>
      <c r="B69" s="113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</row>
    <row r="70" spans="1:62" x14ac:dyDescent="0.2">
      <c r="A70" s="113"/>
      <c r="B70" s="113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</row>
    <row r="71" spans="1:62" x14ac:dyDescent="0.2">
      <c r="A71" s="113"/>
      <c r="B71" s="113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</row>
    <row r="72" spans="1:62" x14ac:dyDescent="0.2">
      <c r="A72" s="113"/>
      <c r="B72" s="113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</row>
    <row r="73" spans="1:62" x14ac:dyDescent="0.2">
      <c r="A73" s="113"/>
      <c r="B73" s="113"/>
      <c r="C73" s="114"/>
      <c r="D73" s="113"/>
      <c r="E73" s="113"/>
      <c r="F73" s="115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</row>
    <row r="74" spans="1:62" x14ac:dyDescent="0.2">
      <c r="A74" s="113"/>
      <c r="B74" s="113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</row>
    <row r="75" spans="1:62" x14ac:dyDescent="0.2">
      <c r="A75" s="113"/>
      <c r="B75" s="113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</row>
    <row r="76" spans="1:62" x14ac:dyDescent="0.2">
      <c r="A76" s="113"/>
      <c r="B76" s="113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</row>
    <row r="77" spans="1:62" x14ac:dyDescent="0.2">
      <c r="A77" s="113"/>
      <c r="B77" s="113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</row>
    <row r="78" spans="1:62" x14ac:dyDescent="0.2">
      <c r="A78" s="113"/>
      <c r="B78" s="113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</row>
    <row r="79" spans="1:62" x14ac:dyDescent="0.2">
      <c r="A79" s="113"/>
      <c r="B79" s="113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</row>
    <row r="80" spans="1:62" x14ac:dyDescent="0.2">
      <c r="A80" s="113"/>
      <c r="B80" s="113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</row>
    <row r="81" spans="1:62" x14ac:dyDescent="0.2">
      <c r="A81" s="113"/>
      <c r="B81" s="113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</row>
    <row r="82" spans="1:62" x14ac:dyDescent="0.2">
      <c r="A82" s="113"/>
      <c r="B82" s="113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</row>
    <row r="83" spans="1:62" x14ac:dyDescent="0.2">
      <c r="A83" s="113"/>
      <c r="B83" s="113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</row>
    <row r="84" spans="1:62" x14ac:dyDescent="0.2">
      <c r="A84" s="113"/>
      <c r="B84" s="113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</row>
    <row r="85" spans="1:62" x14ac:dyDescent="0.2">
      <c r="A85" s="113"/>
      <c r="B85" s="113"/>
      <c r="C85" s="114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</row>
    <row r="86" spans="1:62" x14ac:dyDescent="0.2">
      <c r="A86" s="113"/>
      <c r="B86" s="113"/>
      <c r="C86" s="114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</row>
    <row r="87" spans="1:62" x14ac:dyDescent="0.2">
      <c r="A87" s="113"/>
      <c r="B87" s="113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</row>
    <row r="88" spans="1:62" x14ac:dyDescent="0.2">
      <c r="A88" s="113"/>
      <c r="B88" s="113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3"/>
      <c r="BA88" s="113"/>
      <c r="BB88" s="113"/>
      <c r="BC88" s="113"/>
      <c r="BD88" s="113"/>
      <c r="BE88" s="113"/>
      <c r="BF88" s="113"/>
      <c r="BG88" s="113"/>
      <c r="BH88" s="113"/>
      <c r="BI88" s="113"/>
      <c r="BJ88" s="113"/>
    </row>
    <row r="89" spans="1:62" x14ac:dyDescent="0.2">
      <c r="A89" s="113"/>
      <c r="B89" s="113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</row>
    <row r="90" spans="1:62" x14ac:dyDescent="0.2">
      <c r="A90" s="113"/>
      <c r="B90" s="113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3"/>
      <c r="BA90" s="113"/>
      <c r="BB90" s="113"/>
      <c r="BC90" s="113"/>
      <c r="BD90" s="113"/>
      <c r="BE90" s="113"/>
      <c r="BF90" s="113"/>
      <c r="BG90" s="113"/>
      <c r="BH90" s="113"/>
      <c r="BI90" s="113"/>
      <c r="BJ90" s="113"/>
    </row>
    <row r="91" spans="1:62" x14ac:dyDescent="0.2">
      <c r="A91" s="113"/>
      <c r="B91" s="113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  <c r="BJ91" s="113"/>
    </row>
    <row r="92" spans="1:62" x14ac:dyDescent="0.2">
      <c r="A92" s="113"/>
      <c r="B92" s="113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</row>
    <row r="93" spans="1:62" x14ac:dyDescent="0.2">
      <c r="A93" s="113"/>
      <c r="B93" s="113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</row>
    <row r="94" spans="1:62" x14ac:dyDescent="0.2">
      <c r="A94" s="113"/>
      <c r="B94" s="113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</row>
    <row r="95" spans="1:62" x14ac:dyDescent="0.2">
      <c r="A95" s="113"/>
      <c r="B95" s="113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13"/>
      <c r="AW95" s="113"/>
      <c r="AX95" s="113"/>
      <c r="AY95" s="113"/>
      <c r="AZ95" s="113"/>
      <c r="BA95" s="113"/>
      <c r="BB95" s="113"/>
      <c r="BC95" s="113"/>
      <c r="BD95" s="113"/>
      <c r="BE95" s="113"/>
      <c r="BF95" s="113"/>
      <c r="BG95" s="113"/>
      <c r="BH95" s="113"/>
      <c r="BI95" s="113"/>
      <c r="BJ95" s="113"/>
    </row>
    <row r="96" spans="1:62" x14ac:dyDescent="0.2">
      <c r="A96" s="113"/>
      <c r="B96" s="113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  <c r="AQ96" s="113"/>
      <c r="AR96" s="113"/>
      <c r="AS96" s="113"/>
      <c r="AT96" s="113"/>
      <c r="AU96" s="113"/>
      <c r="AV96" s="113"/>
      <c r="AW96" s="113"/>
      <c r="AX96" s="113"/>
      <c r="AY96" s="113"/>
      <c r="AZ96" s="113"/>
      <c r="BA96" s="113"/>
      <c r="BB96" s="113"/>
      <c r="BC96" s="113"/>
      <c r="BD96" s="113"/>
      <c r="BE96" s="113"/>
      <c r="BF96" s="113"/>
      <c r="BG96" s="113"/>
      <c r="BH96" s="113"/>
      <c r="BI96" s="113"/>
      <c r="BJ96" s="113"/>
    </row>
    <row r="97" spans="1:62" x14ac:dyDescent="0.2">
      <c r="A97" s="113"/>
      <c r="B97" s="113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3"/>
      <c r="BI97" s="113"/>
      <c r="BJ97" s="113"/>
    </row>
    <row r="98" spans="1:62" x14ac:dyDescent="0.2">
      <c r="A98" s="113"/>
      <c r="B98" s="113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13"/>
      <c r="AW98" s="113"/>
      <c r="AX98" s="113"/>
      <c r="AY98" s="113"/>
      <c r="AZ98" s="113"/>
      <c r="BA98" s="113"/>
      <c r="BB98" s="113"/>
      <c r="BC98" s="113"/>
      <c r="BD98" s="113"/>
      <c r="BE98" s="113"/>
      <c r="BF98" s="113"/>
      <c r="BG98" s="113"/>
      <c r="BH98" s="113"/>
      <c r="BI98" s="113"/>
      <c r="BJ98" s="113"/>
    </row>
    <row r="99" spans="1:62" x14ac:dyDescent="0.2">
      <c r="A99" s="113"/>
      <c r="B99" s="113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3"/>
      <c r="BH99" s="113"/>
      <c r="BI99" s="113"/>
      <c r="BJ99" s="113"/>
    </row>
    <row r="100" spans="1:62" x14ac:dyDescent="0.2">
      <c r="A100" s="113"/>
      <c r="B100" s="113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113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</row>
    <row r="101" spans="1:62" x14ac:dyDescent="0.2">
      <c r="A101" s="113"/>
      <c r="B101" s="113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</row>
    <row r="102" spans="1:62" x14ac:dyDescent="0.2">
      <c r="A102" s="113"/>
      <c r="B102" s="113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113"/>
    </row>
    <row r="103" spans="1:62" x14ac:dyDescent="0.2">
      <c r="A103" s="113"/>
      <c r="B103" s="113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</row>
    <row r="104" spans="1:62" x14ac:dyDescent="0.2">
      <c r="A104" s="113"/>
      <c r="B104" s="113"/>
      <c r="C104" s="114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</row>
    <row r="105" spans="1:62" x14ac:dyDescent="0.2">
      <c r="A105" s="113"/>
      <c r="B105" s="113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</row>
    <row r="106" spans="1:62" x14ac:dyDescent="0.2">
      <c r="A106" s="113"/>
      <c r="B106" s="113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  <c r="BB106" s="113"/>
      <c r="BC106" s="113"/>
      <c r="BD106" s="113"/>
      <c r="BE106" s="113"/>
      <c r="BF106" s="113"/>
      <c r="BG106" s="113"/>
      <c r="BH106" s="113"/>
      <c r="BI106" s="113"/>
      <c r="BJ106" s="113"/>
    </row>
    <row r="107" spans="1:62" x14ac:dyDescent="0.2">
      <c r="A107" s="113"/>
      <c r="B107" s="113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</row>
    <row r="108" spans="1:62" x14ac:dyDescent="0.2">
      <c r="A108" s="113"/>
      <c r="B108" s="113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  <c r="BB108" s="113"/>
      <c r="BC108" s="113"/>
      <c r="BD108" s="113"/>
      <c r="BE108" s="113"/>
      <c r="BF108" s="113"/>
      <c r="BG108" s="113"/>
      <c r="BH108" s="113"/>
      <c r="BI108" s="113"/>
      <c r="BJ108" s="113"/>
    </row>
    <row r="109" spans="1:62" x14ac:dyDescent="0.2">
      <c r="A109" s="113"/>
      <c r="B109" s="113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</row>
    <row r="110" spans="1:62" x14ac:dyDescent="0.2">
      <c r="A110" s="113"/>
      <c r="B110" s="113"/>
      <c r="C110" s="114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  <c r="BB110" s="113"/>
      <c r="BC110" s="113"/>
      <c r="BD110" s="113"/>
      <c r="BE110" s="113"/>
      <c r="BF110" s="113"/>
      <c r="BG110" s="113"/>
      <c r="BH110" s="113"/>
      <c r="BI110" s="113"/>
      <c r="BJ110" s="113"/>
    </row>
    <row r="111" spans="1:62" x14ac:dyDescent="0.2">
      <c r="A111" s="113"/>
      <c r="B111" s="113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  <c r="BB111" s="113"/>
      <c r="BC111" s="113"/>
      <c r="BD111" s="113"/>
      <c r="BE111" s="113"/>
      <c r="BF111" s="113"/>
      <c r="BG111" s="113"/>
      <c r="BH111" s="113"/>
      <c r="BI111" s="113"/>
      <c r="BJ111" s="113"/>
    </row>
    <row r="112" spans="1:62" x14ac:dyDescent="0.2">
      <c r="A112" s="113"/>
      <c r="B112" s="113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  <c r="BB112" s="113"/>
      <c r="BC112" s="113"/>
      <c r="BD112" s="113"/>
      <c r="BE112" s="113"/>
      <c r="BF112" s="113"/>
      <c r="BG112" s="113"/>
      <c r="BH112" s="113"/>
      <c r="BI112" s="113"/>
      <c r="BJ112" s="113"/>
    </row>
    <row r="113" spans="1:62" x14ac:dyDescent="0.2">
      <c r="A113" s="113"/>
      <c r="B113" s="113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</row>
    <row r="114" spans="1:62" x14ac:dyDescent="0.2">
      <c r="A114" s="113"/>
      <c r="B114" s="113"/>
      <c r="C114" s="114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</row>
    <row r="115" spans="1:62" x14ac:dyDescent="0.2">
      <c r="A115" s="113"/>
      <c r="B115" s="113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</row>
    <row r="116" spans="1:62" x14ac:dyDescent="0.2">
      <c r="A116" s="113"/>
      <c r="B116" s="113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</row>
    <row r="117" spans="1:62" x14ac:dyDescent="0.2">
      <c r="A117" s="113"/>
      <c r="B117" s="113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</row>
    <row r="118" spans="1:62" x14ac:dyDescent="0.2">
      <c r="A118" s="113"/>
      <c r="B118" s="113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</row>
    <row r="119" spans="1:62" x14ac:dyDescent="0.2">
      <c r="A119" s="113"/>
      <c r="B119" s="113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</row>
    <row r="120" spans="1:62" x14ac:dyDescent="0.2">
      <c r="A120" s="113"/>
      <c r="B120" s="113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</row>
    <row r="121" spans="1:62" x14ac:dyDescent="0.2">
      <c r="A121" s="113"/>
      <c r="B121" s="113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</row>
    <row r="122" spans="1:62" x14ac:dyDescent="0.2">
      <c r="A122" s="113"/>
      <c r="B122" s="113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113"/>
    </row>
    <row r="123" spans="1:62" x14ac:dyDescent="0.2">
      <c r="A123" s="113"/>
      <c r="B123" s="113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</row>
    <row r="124" spans="1:62" x14ac:dyDescent="0.2">
      <c r="A124" s="113"/>
      <c r="B124" s="113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</row>
    <row r="125" spans="1:62" x14ac:dyDescent="0.2">
      <c r="A125" s="113"/>
      <c r="B125" s="113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</row>
    <row r="126" spans="1:62" x14ac:dyDescent="0.2">
      <c r="A126" s="113"/>
      <c r="B126" s="113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</row>
    <row r="127" spans="1:62" x14ac:dyDescent="0.2">
      <c r="A127" s="113"/>
      <c r="B127" s="113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</row>
    <row r="128" spans="1:62" x14ac:dyDescent="0.2">
      <c r="A128" s="113"/>
      <c r="B128" s="113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</row>
    <row r="129" spans="1:62" x14ac:dyDescent="0.2">
      <c r="A129" s="113"/>
      <c r="B129" s="113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</row>
    <row r="130" spans="1:62" x14ac:dyDescent="0.2">
      <c r="A130" s="113"/>
      <c r="B130" s="113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</row>
    <row r="131" spans="1:62" x14ac:dyDescent="0.2">
      <c r="A131" s="113"/>
      <c r="B131" s="113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</row>
    <row r="132" spans="1:62" x14ac:dyDescent="0.2">
      <c r="A132" s="113"/>
      <c r="B132" s="113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</row>
    <row r="133" spans="1:62" x14ac:dyDescent="0.2">
      <c r="A133" s="113"/>
      <c r="B133" s="113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</row>
    <row r="134" spans="1:62" x14ac:dyDescent="0.2">
      <c r="A134" s="113"/>
      <c r="B134" s="113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</row>
    <row r="135" spans="1:62" x14ac:dyDescent="0.2">
      <c r="A135" s="113"/>
      <c r="B135" s="113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</row>
    <row r="136" spans="1:62" x14ac:dyDescent="0.2">
      <c r="A136" s="113"/>
      <c r="B136" s="113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</row>
    <row r="137" spans="1:62" x14ac:dyDescent="0.2">
      <c r="A137" s="113"/>
      <c r="B137" s="113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</row>
    <row r="138" spans="1:62" x14ac:dyDescent="0.2">
      <c r="A138" s="113"/>
      <c r="B138" s="113"/>
      <c r="C138" s="114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</row>
    <row r="139" spans="1:62" x14ac:dyDescent="0.2">
      <c r="A139" s="113"/>
      <c r="B139" s="113"/>
      <c r="C139" s="114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</row>
    <row r="140" spans="1:62" x14ac:dyDescent="0.2">
      <c r="A140" s="113"/>
      <c r="B140" s="113"/>
      <c r="C140" s="114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113"/>
    </row>
    <row r="141" spans="1:62" x14ac:dyDescent="0.2">
      <c r="A141" s="113"/>
      <c r="B141" s="113"/>
      <c r="C141" s="114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</row>
    <row r="142" spans="1:62" x14ac:dyDescent="0.2">
      <c r="A142" s="113"/>
      <c r="B142" s="113"/>
      <c r="C142" s="114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</row>
    <row r="143" spans="1:62" x14ac:dyDescent="0.2">
      <c r="A143" s="113"/>
      <c r="B143" s="113"/>
      <c r="C143" s="114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</row>
    <row r="144" spans="1:62" x14ac:dyDescent="0.2">
      <c r="A144" s="113"/>
      <c r="B144" s="113"/>
      <c r="C144" s="114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</row>
    <row r="145" spans="1:62" x14ac:dyDescent="0.2">
      <c r="A145" s="113"/>
      <c r="B145" s="113"/>
      <c r="C145" s="114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</row>
    <row r="146" spans="1:62" x14ac:dyDescent="0.2">
      <c r="A146" s="113"/>
      <c r="B146" s="113"/>
      <c r="C146" s="114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113"/>
    </row>
    <row r="147" spans="1:62" x14ac:dyDescent="0.2">
      <c r="A147" s="113"/>
      <c r="B147" s="113"/>
      <c r="C147" s="114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</row>
    <row r="148" spans="1:62" x14ac:dyDescent="0.2">
      <c r="A148" s="113"/>
      <c r="B148" s="113"/>
      <c r="C148" s="114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</row>
    <row r="149" spans="1:62" x14ac:dyDescent="0.2">
      <c r="A149" s="113"/>
      <c r="B149" s="113"/>
      <c r="C149" s="114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</row>
    <row r="150" spans="1:62" x14ac:dyDescent="0.2">
      <c r="A150" s="113"/>
      <c r="B150" s="113"/>
      <c r="C150" s="114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</row>
    <row r="151" spans="1:62" x14ac:dyDescent="0.2">
      <c r="A151" s="113"/>
      <c r="B151" s="113"/>
      <c r="C151" s="114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</row>
    <row r="152" spans="1:62" x14ac:dyDescent="0.2">
      <c r="A152" s="113"/>
      <c r="B152" s="113"/>
      <c r="C152" s="114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113"/>
    </row>
    <row r="153" spans="1:62" x14ac:dyDescent="0.2">
      <c r="A153" s="113"/>
      <c r="B153" s="113"/>
      <c r="C153" s="114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</row>
    <row r="154" spans="1:62" x14ac:dyDescent="0.2">
      <c r="A154" s="113"/>
      <c r="B154" s="113"/>
      <c r="C154" s="114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</row>
    <row r="155" spans="1:62" x14ac:dyDescent="0.2">
      <c r="A155" s="113"/>
      <c r="B155" s="113"/>
      <c r="C155" s="114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</row>
    <row r="156" spans="1:62" x14ac:dyDescent="0.2">
      <c r="A156" s="113"/>
      <c r="B156" s="113"/>
      <c r="C156" s="114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</row>
    <row r="157" spans="1:62" x14ac:dyDescent="0.2">
      <c r="A157" s="113"/>
      <c r="B157" s="113"/>
      <c r="C157" s="114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</row>
    <row r="158" spans="1:62" x14ac:dyDescent="0.2">
      <c r="A158" s="113"/>
      <c r="B158" s="113"/>
      <c r="C158" s="114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113"/>
    </row>
    <row r="159" spans="1:62" x14ac:dyDescent="0.2">
      <c r="A159" s="113"/>
      <c r="B159" s="113"/>
      <c r="C159" s="114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</row>
    <row r="160" spans="1:62" x14ac:dyDescent="0.2">
      <c r="A160" s="113"/>
      <c r="B160" s="113"/>
      <c r="C160" s="114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</row>
    <row r="161" spans="1:62" x14ac:dyDescent="0.2">
      <c r="A161" s="113"/>
      <c r="B161" s="113"/>
      <c r="C161" s="114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</row>
    <row r="162" spans="1:62" x14ac:dyDescent="0.2">
      <c r="A162" s="113"/>
      <c r="B162" s="113"/>
      <c r="C162" s="114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113"/>
    </row>
    <row r="163" spans="1:62" x14ac:dyDescent="0.2">
      <c r="A163" s="113"/>
      <c r="B163" s="113"/>
      <c r="C163" s="114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</row>
    <row r="164" spans="1:62" x14ac:dyDescent="0.2">
      <c r="A164" s="113"/>
      <c r="B164" s="113"/>
      <c r="C164" s="114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</row>
    <row r="165" spans="1:62" x14ac:dyDescent="0.2">
      <c r="A165" s="113"/>
      <c r="B165" s="113"/>
      <c r="C165" s="114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</row>
    <row r="166" spans="1:62" x14ac:dyDescent="0.2">
      <c r="A166" s="113"/>
      <c r="B166" s="113"/>
      <c r="C166" s="114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113"/>
    </row>
    <row r="167" spans="1:62" x14ac:dyDescent="0.2">
      <c r="A167" s="113"/>
      <c r="B167" s="113"/>
      <c r="C167" s="114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</row>
    <row r="168" spans="1:62" x14ac:dyDescent="0.2">
      <c r="A168" s="113"/>
      <c r="B168" s="113"/>
      <c r="C168" s="114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</row>
    <row r="169" spans="1:62" x14ac:dyDescent="0.2">
      <c r="A169" s="113"/>
      <c r="B169" s="113"/>
      <c r="C169" s="114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</row>
    <row r="170" spans="1:62" x14ac:dyDescent="0.2">
      <c r="A170" s="113"/>
      <c r="B170" s="113"/>
      <c r="C170" s="114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</row>
    <row r="171" spans="1:62" x14ac:dyDescent="0.2">
      <c r="A171" s="113"/>
      <c r="B171" s="113"/>
      <c r="C171" s="114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</row>
    <row r="172" spans="1:62" x14ac:dyDescent="0.2">
      <c r="A172" s="113"/>
      <c r="B172" s="113"/>
      <c r="C172" s="114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</row>
    <row r="173" spans="1:62" x14ac:dyDescent="0.2">
      <c r="A173" s="113"/>
      <c r="B173" s="113"/>
      <c r="C173" s="114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</row>
    <row r="174" spans="1:62" x14ac:dyDescent="0.2">
      <c r="A174" s="113"/>
      <c r="B174" s="113"/>
      <c r="C174" s="114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</row>
    <row r="175" spans="1:62" x14ac:dyDescent="0.2">
      <c r="A175" s="113"/>
      <c r="B175" s="113"/>
      <c r="C175" s="114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</row>
    <row r="176" spans="1:62" x14ac:dyDescent="0.2">
      <c r="A176" s="113"/>
      <c r="B176" s="113"/>
      <c r="C176" s="114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</row>
    <row r="177" spans="1:62" x14ac:dyDescent="0.2">
      <c r="A177" s="113"/>
      <c r="B177" s="113"/>
      <c r="C177" s="114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</row>
    <row r="178" spans="1:62" x14ac:dyDescent="0.2">
      <c r="A178" s="113"/>
      <c r="B178" s="113"/>
      <c r="C178" s="114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</row>
    <row r="179" spans="1:62" x14ac:dyDescent="0.2">
      <c r="A179" s="113"/>
      <c r="B179" s="113"/>
      <c r="C179" s="114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</row>
    <row r="180" spans="1:62" x14ac:dyDescent="0.2">
      <c r="A180" s="113"/>
      <c r="B180" s="113"/>
      <c r="C180" s="114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</row>
    <row r="181" spans="1:62" x14ac:dyDescent="0.2">
      <c r="A181" s="113"/>
      <c r="B181" s="113"/>
      <c r="C181" s="114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</row>
    <row r="182" spans="1:62" x14ac:dyDescent="0.2">
      <c r="A182" s="113"/>
      <c r="B182" s="113"/>
      <c r="C182" s="114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</row>
    <row r="183" spans="1:62" x14ac:dyDescent="0.2">
      <c r="A183" s="113"/>
      <c r="B183" s="113"/>
      <c r="C183" s="114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</row>
    <row r="184" spans="1:62" x14ac:dyDescent="0.2">
      <c r="A184" s="113"/>
      <c r="B184" s="113"/>
      <c r="C184" s="114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</row>
    <row r="185" spans="1:62" x14ac:dyDescent="0.2">
      <c r="A185" s="113"/>
      <c r="B185" s="113"/>
      <c r="C185" s="114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</row>
    <row r="186" spans="1:62" x14ac:dyDescent="0.2">
      <c r="A186" s="113"/>
      <c r="B186" s="113"/>
      <c r="C186" s="114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</row>
  </sheetData>
  <phoneticPr fontId="13" type="noConversion"/>
  <printOptions horizontalCentered="1" verticalCentered="1"/>
  <pageMargins left="0.7" right="0.7" top="0.2" bottom="0.2" header="0.3" footer="0.3"/>
  <pageSetup paperSize="9" scale="18" orientation="landscape" horizontalDpi="0" verticalDpi="0"/>
  <headerFooter>
    <oddHeader>&amp;A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DCD-B05E-B849-B893-4F15FC671746}">
  <dimension ref="A2:AA32"/>
  <sheetViews>
    <sheetView showGridLines="0" zoomScale="117" workbookViewId="0">
      <selection activeCell="B9" sqref="B9"/>
    </sheetView>
  </sheetViews>
  <sheetFormatPr baseColWidth="10" defaultRowHeight="16" x14ac:dyDescent="0.2"/>
  <cols>
    <col min="1" max="1" width="10.83203125" style="75"/>
    <col min="2" max="2" width="7.5" style="76" customWidth="1"/>
    <col min="3" max="3" width="10.83203125" style="75"/>
    <col min="4" max="4" width="7.5" style="76" customWidth="1"/>
    <col min="5" max="5" width="10.33203125" style="75" customWidth="1"/>
    <col min="6" max="6" width="7.5" style="76" customWidth="1"/>
    <col min="7" max="7" width="10.33203125" style="75" customWidth="1"/>
    <col min="8" max="8" width="7.5" style="76" customWidth="1"/>
    <col min="9" max="9" width="10.33203125" style="75" customWidth="1"/>
    <col min="10" max="10" width="7.5" style="76" customWidth="1"/>
    <col min="11" max="11" width="10.33203125" style="75" customWidth="1"/>
    <col min="12" max="12" width="7.5" style="76" customWidth="1"/>
    <col min="13" max="13" width="10.33203125" style="75" customWidth="1"/>
    <col min="14" max="14" width="7.5" style="76" customWidth="1"/>
    <col min="15" max="15" width="10.33203125" style="75" customWidth="1"/>
    <col min="16" max="16" width="7.5" style="76" customWidth="1"/>
    <col min="17" max="17" width="10.33203125" style="75" customWidth="1"/>
    <col min="18" max="18" width="7.5" style="76" customWidth="1"/>
    <col min="19" max="19" width="10.33203125" style="75" customWidth="1"/>
    <col min="20" max="20" width="7.5" style="76" customWidth="1"/>
    <col min="21" max="21" width="10.33203125" style="75" customWidth="1"/>
    <col min="22" max="22" width="7.5" style="76" customWidth="1"/>
    <col min="23" max="23" width="10.33203125" style="75" customWidth="1"/>
    <col min="24" max="24" width="7.5" style="76" customWidth="1"/>
    <col min="25" max="25" width="10.33203125" style="75" customWidth="1"/>
    <col min="26" max="26" width="11.6640625" style="75" bestFit="1" customWidth="1"/>
    <col min="27" max="16384" width="10.83203125" style="75"/>
  </cols>
  <sheetData>
    <row r="2" spans="1:26" x14ac:dyDescent="0.2">
      <c r="B2" s="76" t="s">
        <v>93</v>
      </c>
      <c r="D2" s="90" t="s">
        <v>103</v>
      </c>
      <c r="E2" s="89">
        <v>65606.259999999995</v>
      </c>
    </row>
    <row r="3" spans="1:26" x14ac:dyDescent="0.2">
      <c r="B3" s="76" t="s">
        <v>94</v>
      </c>
      <c r="D3" s="90" t="s">
        <v>102</v>
      </c>
      <c r="E3" s="89">
        <v>51979.69</v>
      </c>
    </row>
    <row r="6" spans="1:26" x14ac:dyDescent="0.2">
      <c r="C6" s="75">
        <v>2023</v>
      </c>
    </row>
    <row r="7" spans="1:26" x14ac:dyDescent="0.2">
      <c r="B7" s="151">
        <v>1</v>
      </c>
      <c r="C7" s="151"/>
      <c r="D7" s="151">
        <v>2</v>
      </c>
      <c r="E7" s="151"/>
      <c r="F7" s="151">
        <v>3</v>
      </c>
      <c r="G7" s="151"/>
      <c r="H7" s="151">
        <v>4</v>
      </c>
      <c r="I7" s="151"/>
      <c r="J7" s="151">
        <v>5</v>
      </c>
      <c r="K7" s="151"/>
      <c r="L7" s="151">
        <v>6</v>
      </c>
      <c r="M7" s="151"/>
      <c r="N7" s="151">
        <v>7</v>
      </c>
      <c r="O7" s="151"/>
      <c r="P7" s="151">
        <v>8</v>
      </c>
      <c r="Q7" s="151"/>
      <c r="R7" s="151">
        <v>9</v>
      </c>
      <c r="S7" s="151"/>
      <c r="T7" s="151">
        <v>10</v>
      </c>
      <c r="U7" s="151"/>
      <c r="V7" s="151">
        <v>11</v>
      </c>
      <c r="W7" s="151"/>
      <c r="X7" s="151">
        <v>12</v>
      </c>
      <c r="Y7" s="151"/>
    </row>
    <row r="8" spans="1:26" s="82" customFormat="1" x14ac:dyDescent="0.2">
      <c r="A8" s="82" t="s">
        <v>84</v>
      </c>
      <c r="B8" s="87"/>
      <c r="C8" s="86"/>
      <c r="D8" s="87"/>
      <c r="E8" s="86"/>
      <c r="F8" s="87" t="s">
        <v>86</v>
      </c>
      <c r="G8" s="86">
        <v>330.39</v>
      </c>
      <c r="H8" s="87"/>
      <c r="I8" s="86"/>
      <c r="J8" s="87" t="s">
        <v>90</v>
      </c>
      <c r="K8" s="86">
        <v>137.66999999999999</v>
      </c>
      <c r="L8" s="87"/>
      <c r="M8" s="86"/>
      <c r="N8" s="87" t="s">
        <v>87</v>
      </c>
      <c r="O8" s="86">
        <v>4719.3599999999997</v>
      </c>
      <c r="P8" s="87" t="s">
        <v>91</v>
      </c>
      <c r="Q8" s="86">
        <v>1120.4000000000001</v>
      </c>
      <c r="R8" s="87"/>
      <c r="S8" s="86"/>
      <c r="T8" s="87" t="s">
        <v>89</v>
      </c>
      <c r="U8" s="86">
        <v>1230.06</v>
      </c>
      <c r="V8" s="87"/>
      <c r="W8" s="86"/>
      <c r="X8" s="87"/>
      <c r="Y8" s="86"/>
    </row>
    <row r="9" spans="1:26" s="82" customFormat="1" x14ac:dyDescent="0.2">
      <c r="A9" s="88"/>
      <c r="D9" s="87"/>
      <c r="E9" s="86"/>
      <c r="F9" s="87"/>
      <c r="G9" s="86"/>
      <c r="H9" s="87"/>
      <c r="I9" s="86"/>
      <c r="J9" s="87" t="s">
        <v>101</v>
      </c>
      <c r="K9" s="86"/>
      <c r="L9" s="87"/>
      <c r="M9" s="86"/>
      <c r="N9" s="87" t="s">
        <v>88</v>
      </c>
      <c r="O9" s="86">
        <v>135.97999999999999</v>
      </c>
      <c r="P9" s="87"/>
      <c r="Q9" s="86"/>
      <c r="R9" s="87"/>
      <c r="S9" s="86"/>
      <c r="T9" s="87"/>
      <c r="U9" s="86"/>
      <c r="V9" s="87"/>
      <c r="W9" s="86"/>
      <c r="X9" s="87"/>
      <c r="Y9" s="86"/>
    </row>
    <row r="10" spans="1:26" s="82" customFormat="1" x14ac:dyDescent="0.2">
      <c r="B10" s="87"/>
      <c r="C10" s="86"/>
      <c r="D10" s="87"/>
      <c r="E10" s="86"/>
      <c r="F10" s="87"/>
      <c r="G10" s="86"/>
      <c r="H10" s="87"/>
      <c r="I10" s="86"/>
      <c r="J10" s="87"/>
      <c r="K10" s="86"/>
      <c r="L10" s="87"/>
      <c r="M10" s="86"/>
      <c r="N10" s="87"/>
      <c r="O10" s="86"/>
      <c r="P10" s="87"/>
      <c r="Q10" s="86"/>
      <c r="R10" s="87"/>
      <c r="S10" s="86"/>
      <c r="T10" s="87"/>
      <c r="U10" s="86"/>
      <c r="V10" s="87"/>
      <c r="W10" s="86"/>
      <c r="X10" s="87"/>
      <c r="Y10" s="86"/>
    </row>
    <row r="11" spans="1:26" s="82" customFormat="1" x14ac:dyDescent="0.2">
      <c r="B11" s="87"/>
      <c r="C11" s="86"/>
      <c r="D11" s="87"/>
      <c r="E11" s="86"/>
      <c r="F11" s="87"/>
      <c r="G11" s="86"/>
      <c r="H11" s="87"/>
      <c r="I11" s="86"/>
      <c r="J11" s="87"/>
      <c r="K11" s="86"/>
      <c r="L11" s="87"/>
      <c r="M11" s="86"/>
      <c r="N11" s="87"/>
      <c r="O11" s="86"/>
      <c r="P11" s="87"/>
      <c r="Q11" s="86"/>
      <c r="R11" s="87"/>
      <c r="S11" s="86"/>
      <c r="T11" s="87"/>
      <c r="U11" s="86"/>
      <c r="V11" s="87"/>
      <c r="W11" s="86"/>
      <c r="X11" s="87"/>
      <c r="Y11" s="86"/>
    </row>
    <row r="12" spans="1:26" s="82" customFormat="1" x14ac:dyDescent="0.2">
      <c r="B12" s="87"/>
      <c r="C12" s="86"/>
      <c r="D12" s="87"/>
      <c r="E12" s="86"/>
      <c r="F12" s="87"/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</row>
    <row r="13" spans="1:26" s="82" customFormat="1" x14ac:dyDescent="0.2">
      <c r="B13" s="87"/>
      <c r="C13" s="86"/>
      <c r="D13" s="87"/>
      <c r="E13" s="86"/>
      <c r="F13" s="87"/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</row>
    <row r="14" spans="1:26" s="82" customFormat="1" x14ac:dyDescent="0.2">
      <c r="B14" s="87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</row>
    <row r="15" spans="1:26" s="82" customFormat="1" x14ac:dyDescent="0.2">
      <c r="B15" s="85"/>
      <c r="C15" s="84">
        <f>SUM(C8:C14)</f>
        <v>0</v>
      </c>
      <c r="D15" s="85"/>
      <c r="E15" s="84">
        <f>SUM(E8:E14)</f>
        <v>0</v>
      </c>
      <c r="F15" s="85"/>
      <c r="G15" s="84">
        <f>SUM(G8:G14)</f>
        <v>330.39</v>
      </c>
      <c r="H15" s="85"/>
      <c r="I15" s="84">
        <f>SUM(I8:I14)</f>
        <v>0</v>
      </c>
      <c r="J15" s="85"/>
      <c r="K15" s="84">
        <f>SUM(K8:K14)</f>
        <v>137.66999999999999</v>
      </c>
      <c r="L15" s="85"/>
      <c r="M15" s="84">
        <f>SUM(M8:M14)</f>
        <v>0</v>
      </c>
      <c r="N15" s="85"/>
      <c r="O15" s="84">
        <f>SUM(O8:O14)</f>
        <v>4855.3399999999992</v>
      </c>
      <c r="P15" s="85"/>
      <c r="Q15" s="84">
        <f>SUM(Q8:Q14)</f>
        <v>1120.4000000000001</v>
      </c>
      <c r="R15" s="85"/>
      <c r="S15" s="84">
        <f>SUM(S8:S14)</f>
        <v>0</v>
      </c>
      <c r="T15" s="85"/>
      <c r="U15" s="84">
        <f>SUM(U8:U14)</f>
        <v>1230.06</v>
      </c>
      <c r="V15" s="85"/>
      <c r="W15" s="84">
        <f>SUM(W8:W14)</f>
        <v>0</v>
      </c>
      <c r="X15" s="85"/>
      <c r="Y15" s="84">
        <f>SUM(Y8:Y14)</f>
        <v>0</v>
      </c>
      <c r="Z15" s="83">
        <f>SUM(B15:Y15)</f>
        <v>7673.8599999999988</v>
      </c>
    </row>
    <row r="19" spans="1:27" x14ac:dyDescent="0.2">
      <c r="B19" s="151">
        <v>1</v>
      </c>
      <c r="C19" s="151"/>
      <c r="D19" s="151">
        <v>2</v>
      </c>
      <c r="E19" s="151"/>
      <c r="F19" s="151">
        <v>3</v>
      </c>
      <c r="G19" s="151"/>
      <c r="H19" s="151">
        <v>4</v>
      </c>
      <c r="I19" s="151"/>
      <c r="J19" s="151">
        <v>5</v>
      </c>
      <c r="K19" s="151"/>
      <c r="L19" s="151">
        <v>6</v>
      </c>
      <c r="M19" s="151"/>
      <c r="N19" s="151">
        <v>7</v>
      </c>
      <c r="O19" s="151"/>
      <c r="P19" s="151">
        <v>8</v>
      </c>
      <c r="Q19" s="151"/>
      <c r="R19" s="151">
        <v>9</v>
      </c>
      <c r="S19" s="151"/>
      <c r="T19" s="151">
        <v>10</v>
      </c>
      <c r="U19" s="151"/>
      <c r="V19" s="151">
        <v>11</v>
      </c>
      <c r="W19" s="151"/>
      <c r="X19" s="151">
        <v>12</v>
      </c>
      <c r="Y19" s="151"/>
    </row>
    <row r="20" spans="1:27" s="82" customFormat="1" x14ac:dyDescent="0.2">
      <c r="A20" s="82" t="s">
        <v>80</v>
      </c>
      <c r="B20" s="87" t="s">
        <v>97</v>
      </c>
      <c r="C20" s="86">
        <v>1258.07</v>
      </c>
      <c r="D20" s="87"/>
      <c r="E20" s="86"/>
      <c r="F20" s="87" t="s">
        <v>92</v>
      </c>
      <c r="G20" s="86">
        <v>582.24</v>
      </c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 t="s">
        <v>96</v>
      </c>
      <c r="S20" s="86">
        <v>427.37</v>
      </c>
      <c r="T20" s="87"/>
      <c r="U20" s="86"/>
      <c r="V20" s="87"/>
      <c r="W20" s="86"/>
      <c r="X20" s="87" t="s">
        <v>95</v>
      </c>
      <c r="Y20" s="86">
        <v>440.41</v>
      </c>
    </row>
    <row r="21" spans="1:27" s="82" customFormat="1" x14ac:dyDescent="0.2">
      <c r="B21" s="87" t="s">
        <v>85</v>
      </c>
      <c r="C21" s="86">
        <v>439.08</v>
      </c>
      <c r="D21" s="87"/>
      <c r="E21" s="86"/>
      <c r="F21" s="87" t="s">
        <v>98</v>
      </c>
      <c r="G21" s="86">
        <v>264.23</v>
      </c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</row>
    <row r="22" spans="1:27" s="82" customFormat="1" x14ac:dyDescent="0.2">
      <c r="B22" s="87"/>
      <c r="C22" s="86"/>
      <c r="D22" s="87"/>
      <c r="E22" s="86"/>
      <c r="F22" s="87"/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</row>
    <row r="23" spans="1:27" s="82" customFormat="1" x14ac:dyDescent="0.2">
      <c r="B23" s="87"/>
      <c r="C23" s="86"/>
      <c r="D23" s="87"/>
      <c r="E23" s="86"/>
      <c r="F23" s="87"/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</row>
    <row r="24" spans="1:27" s="82" customFormat="1" x14ac:dyDescent="0.2">
      <c r="B24" s="87"/>
      <c r="C24" s="86"/>
      <c r="D24" s="87"/>
      <c r="E24" s="86"/>
      <c r="F24" s="87"/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</row>
    <row r="25" spans="1:27" s="82" customFormat="1" x14ac:dyDescent="0.2">
      <c r="B25" s="87"/>
      <c r="C25" s="86"/>
      <c r="D25" s="87"/>
      <c r="E25" s="86"/>
      <c r="F25" s="87"/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</row>
    <row r="26" spans="1:27" s="82" customFormat="1" x14ac:dyDescent="0.2">
      <c r="B26" s="87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</row>
    <row r="27" spans="1:27" s="82" customFormat="1" x14ac:dyDescent="0.2">
      <c r="B27" s="85"/>
      <c r="C27" s="84">
        <f>SUM(C20:C26)</f>
        <v>1697.1499999999999</v>
      </c>
      <c r="D27" s="85"/>
      <c r="E27" s="84">
        <f>SUM(E20:E26)</f>
        <v>0</v>
      </c>
      <c r="F27" s="85"/>
      <c r="G27" s="84">
        <f>SUM(G20:G26)</f>
        <v>846.47</v>
      </c>
      <c r="H27" s="85"/>
      <c r="I27" s="84">
        <f>SUM(I20:I26)</f>
        <v>0</v>
      </c>
      <c r="J27" s="85"/>
      <c r="K27" s="84">
        <f>SUM(K20:K26)</f>
        <v>0</v>
      </c>
      <c r="L27" s="85"/>
      <c r="M27" s="84">
        <f>SUM(M20:M26)</f>
        <v>0</v>
      </c>
      <c r="N27" s="85"/>
      <c r="O27" s="84">
        <f>SUM(O20:O26)</f>
        <v>0</v>
      </c>
      <c r="P27" s="85"/>
      <c r="Q27" s="84">
        <f>SUM(Q20:Q26)</f>
        <v>0</v>
      </c>
      <c r="R27" s="85"/>
      <c r="S27" s="84">
        <f>SUM(S20:S26)</f>
        <v>427.37</v>
      </c>
      <c r="T27" s="85"/>
      <c r="U27" s="84">
        <f>SUM(U20:U26)</f>
        <v>0</v>
      </c>
      <c r="V27" s="85"/>
      <c r="W27" s="84">
        <f>SUM(W20:W26)</f>
        <v>0</v>
      </c>
      <c r="X27" s="85"/>
      <c r="Y27" s="84">
        <f>SUM(Y20:Y26)</f>
        <v>440.41</v>
      </c>
      <c r="Z27" s="83">
        <f>SUM(B27:Y27)</f>
        <v>3411.3999999999996</v>
      </c>
    </row>
    <row r="31" spans="1:27" ht="23" x14ac:dyDescent="0.2">
      <c r="Y31" s="81" t="s">
        <v>100</v>
      </c>
      <c r="Z31" s="80">
        <f>Z15-Z27</f>
        <v>4262.4599999999991</v>
      </c>
    </row>
    <row r="32" spans="1:27" x14ac:dyDescent="0.2">
      <c r="Y32" s="79" t="s">
        <v>99</v>
      </c>
      <c r="Z32" s="78">
        <f>$E$3+Z$31</f>
        <v>56242.15</v>
      </c>
      <c r="AA32" s="77">
        <f>Z$32/$E$2</f>
        <v>0.85726804118997191</v>
      </c>
    </row>
  </sheetData>
  <mergeCells count="24">
    <mergeCell ref="P7:Q7"/>
    <mergeCell ref="R7:S7"/>
    <mergeCell ref="T7:U7"/>
    <mergeCell ref="B7:C7"/>
    <mergeCell ref="D7:E7"/>
    <mergeCell ref="F7:G7"/>
    <mergeCell ref="H7:I7"/>
    <mergeCell ref="J7:K7"/>
    <mergeCell ref="V7:W7"/>
    <mergeCell ref="X7:Y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L7:M7"/>
    <mergeCell ref="N7:O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R45"/>
  <sheetViews>
    <sheetView showGridLines="0" zoomScaleNormal="100" workbookViewId="0">
      <selection activeCell="Q8" sqref="Q8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Q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8">
        <f t="shared" si="1"/>
        <v>9017344357.2000008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f>G4-F4</f>
        <v>817380000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B7" s="44" t="s">
        <v>83</v>
      </c>
    </row>
    <row r="8" spans="2:18" x14ac:dyDescent="0.2">
      <c r="B8" s="33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8" x14ac:dyDescent="0.2">
      <c r="B9" s="33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8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8" x14ac:dyDescent="0.2">
      <c r="B11" s="38">
        <v>2022</v>
      </c>
    </row>
    <row r="12" spans="2:18" x14ac:dyDescent="0.2">
      <c r="B12" s="33" t="s">
        <v>77</v>
      </c>
      <c r="C12" s="8">
        <f>(751445363.1+615215363.1)/2</f>
        <v>683330363.10000002</v>
      </c>
    </row>
    <row r="13" spans="2:18" x14ac:dyDescent="0.2">
      <c r="B13" s="33" t="s">
        <v>62</v>
      </c>
      <c r="C13" s="8">
        <f>C12*12</f>
        <v>8199964357.2000008</v>
      </c>
    </row>
    <row r="15" spans="2:18" x14ac:dyDescent="0.2">
      <c r="B15" s="44" t="s">
        <v>61</v>
      </c>
    </row>
    <row r="16" spans="2:18" x14ac:dyDescent="0.2">
      <c r="B16" s="33" t="s">
        <v>78</v>
      </c>
      <c r="C16" s="8">
        <f>751445363.1</f>
        <v>751445363.10000002</v>
      </c>
    </row>
    <row r="17" spans="2:3" x14ac:dyDescent="0.2">
      <c r="B17" s="33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Ampera!C4:Q4</xm:f>
              <xm:sqref>R4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R34"/>
  <sheetViews>
    <sheetView showGridLines="0" topLeftCell="H1" zoomScale="90" zoomScaleNormal="100" workbookViewId="0">
      <selection activeCell="M4" sqref="M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2" width="15.5" style="1" customWidth="1"/>
    <col min="13" max="17" width="16.33203125" style="1" bestFit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v>7200000000</v>
      </c>
      <c r="I4" s="8">
        <f>Table36712[[#This Row],[2024]]+I5</f>
        <v>7700000000</v>
      </c>
      <c r="J4" s="8">
        <f>Table36712[[#This Row],[2025]]+J5</f>
        <v>8200000000</v>
      </c>
      <c r="K4" s="8">
        <f>Table36712[[#This Row],[2026]]+K5</f>
        <v>8700000000</v>
      </c>
      <c r="L4" s="8">
        <f>Table36712[[#This Row],[2027]]+L5</f>
        <v>9200000000</v>
      </c>
      <c r="M4" s="8">
        <f>Table36712[[#This Row],[2028]]+M5</f>
        <v>9700000000</v>
      </c>
      <c r="N4" s="8">
        <f>Table36712[[#This Row],[2029]]+N5</f>
        <v>10200000000</v>
      </c>
      <c r="O4" s="8">
        <f>Table36712[[#This Row],[2030]]+O5</f>
        <v>10700000000</v>
      </c>
      <c r="P4" s="8">
        <f>Table36712[[#This Row],[2031]]+P5</f>
        <v>11200000000</v>
      </c>
      <c r="Q4" s="8">
        <f>Table36712[[#This Row],[2032]]+Q5</f>
        <v>11700000000</v>
      </c>
      <c r="R4" s="31"/>
    </row>
    <row r="5" spans="2:18" ht="20" customHeight="1" thickBot="1" x14ac:dyDescent="0.25">
      <c r="B5" s="1" t="s">
        <v>76</v>
      </c>
      <c r="C5" s="8">
        <v>0</v>
      </c>
      <c r="D5" s="37">
        <v>0</v>
      </c>
      <c r="E5" s="37">
        <v>0</v>
      </c>
      <c r="F5" s="37">
        <v>0</v>
      </c>
      <c r="G5" s="37">
        <v>0</v>
      </c>
      <c r="H5" s="37">
        <v>1000000000</v>
      </c>
      <c r="I5" s="37">
        <v>500000000</v>
      </c>
      <c r="J5" s="37">
        <v>500000000</v>
      </c>
      <c r="K5" s="37">
        <v>500000000</v>
      </c>
      <c r="L5" s="37">
        <v>500000000</v>
      </c>
      <c r="M5" s="37">
        <v>500000000</v>
      </c>
      <c r="N5" s="37">
        <v>500000000</v>
      </c>
      <c r="O5" s="37">
        <v>500000000</v>
      </c>
      <c r="P5" s="37">
        <v>500000000</v>
      </c>
      <c r="Q5" s="37">
        <v>500000000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8" spans="2:18" ht="20" customHeight="1" thickBot="1" x14ac:dyDescent="0.25">
      <c r="B8" s="35" t="s">
        <v>46</v>
      </c>
      <c r="C8" s="35" t="s">
        <v>57</v>
      </c>
      <c r="D8" s="35" t="s">
        <v>58</v>
      </c>
      <c r="E8" s="35" t="s">
        <v>59</v>
      </c>
      <c r="F8" s="35" t="s">
        <v>45</v>
      </c>
      <c r="G8" s="35" t="s">
        <v>9</v>
      </c>
      <c r="H8" s="35" t="s">
        <v>10</v>
      </c>
      <c r="I8" s="35" t="s">
        <v>11</v>
      </c>
      <c r="J8" s="35" t="s">
        <v>12</v>
      </c>
      <c r="K8" s="35" t="s">
        <v>13</v>
      </c>
      <c r="L8" s="35" t="s">
        <v>14</v>
      </c>
      <c r="M8" s="35" t="s">
        <v>15</v>
      </c>
      <c r="N8" s="35" t="s">
        <v>16</v>
      </c>
      <c r="O8" s="35" t="s">
        <v>17</v>
      </c>
      <c r="P8" s="35" t="s">
        <v>18</v>
      </c>
      <c r="Q8" s="35" t="s">
        <v>111</v>
      </c>
    </row>
    <row r="9" spans="2:18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8">
        <f>Table3671213[[#This Row],[2031]]+Q10</f>
        <v>7250000000</v>
      </c>
      <c r="R9" s="31"/>
    </row>
    <row r="10" spans="2:18" ht="20" customHeight="1" thickBot="1" x14ac:dyDescent="0.25">
      <c r="B10" s="1" t="s">
        <v>76</v>
      </c>
      <c r="C10" s="8">
        <v>0</v>
      </c>
      <c r="D10" s="37">
        <v>0</v>
      </c>
      <c r="E10" s="37">
        <v>0</v>
      </c>
      <c r="F10" s="37">
        <v>0</v>
      </c>
      <c r="G10" s="37">
        <v>0</v>
      </c>
      <c r="H10" s="37">
        <v>250000000</v>
      </c>
      <c r="I10" s="37">
        <v>250000000</v>
      </c>
      <c r="J10" s="37">
        <v>250000000</v>
      </c>
      <c r="K10" s="37">
        <v>500000000</v>
      </c>
      <c r="L10" s="37">
        <v>500000000</v>
      </c>
      <c r="M10" s="37">
        <v>500000000</v>
      </c>
      <c r="N10" s="37">
        <v>500000000</v>
      </c>
      <c r="O10" s="37">
        <v>0</v>
      </c>
      <c r="P10" s="37">
        <v>0</v>
      </c>
      <c r="Q10" s="37">
        <v>0</v>
      </c>
      <c r="R10" s="32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G4 C9:P10 C5:I5 I4:P4 K5:N5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SH!C9:Q9</xm:f>
              <xm:sqref>R9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SH!C4:Q4</xm:f>
              <xm:sqref>R4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R35"/>
  <sheetViews>
    <sheetView showGridLines="0" zoomScale="93" zoomScaleNormal="100" workbookViewId="0">
      <selection activeCell="M5" sqref="M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81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10000000000</v>
      </c>
      <c r="I4" s="8">
        <f>Table36710[[#This Row],[2024]]+I5</f>
        <v>11000000000</v>
      </c>
      <c r="J4" s="8">
        <f>Table36710[[#This Row],[2025]]+J5</f>
        <v>12000000000</v>
      </c>
      <c r="K4" s="8">
        <f>Table36710[[#This Row],[2026]]+K5</f>
        <v>12500000000</v>
      </c>
      <c r="L4" s="8">
        <f>Table36710[[#This Row],[2027]]+L5</f>
        <v>13000000000</v>
      </c>
      <c r="M4" s="8">
        <f>Table36710[[#This Row],[2028]]+M5</f>
        <v>13000000000</v>
      </c>
      <c r="N4" s="8">
        <f>Table36710[[#This Row],[2029]]+N5</f>
        <v>13000000000</v>
      </c>
      <c r="O4" s="8">
        <f>Table36710[[#This Row],[2030]]+O5</f>
        <v>13000000000</v>
      </c>
      <c r="P4" s="8">
        <f>Table36710[[#This Row],[2031]]+P5</f>
        <v>13000000000</v>
      </c>
      <c r="Q4" s="8">
        <f>Table36710[[#This Row],[2032]]+Q5</f>
        <v>13000000000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v>500000000</v>
      </c>
      <c r="H5" s="37">
        <v>1500000000</v>
      </c>
      <c r="I5" s="37">
        <v>1000000000</v>
      </c>
      <c r="J5" s="37">
        <v>1000000000</v>
      </c>
      <c r="K5" s="37">
        <v>500000000</v>
      </c>
      <c r="L5" s="37">
        <v>500000000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Dago!C4:Q4</xm:f>
              <xm:sqref>R4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74F7-CFA9-3540-88B9-F99C9D508285}">
  <sheetPr>
    <pageSetUpPr fitToPage="1"/>
  </sheetPr>
  <dimension ref="B2:AM40"/>
  <sheetViews>
    <sheetView showGridLines="0" topLeftCell="C1" zoomScale="108" zoomScaleNormal="100" workbookViewId="0">
      <selection activeCell="H4" sqref="H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7" width="15.5" style="1" customWidth="1"/>
    <col min="18" max="24" width="8.83203125" style="1"/>
    <col min="25" max="38" width="20.5" style="1" customWidth="1"/>
    <col min="39" max="39" width="18.5" style="1" bestFit="1" customWidth="1"/>
    <col min="40" max="16384" width="8.83203125" style="1"/>
  </cols>
  <sheetData>
    <row r="2" spans="2:39" ht="17" thickBot="1" x14ac:dyDescent="0.25">
      <c r="E2" s="33" t="s">
        <v>55</v>
      </c>
      <c r="F2" s="34">
        <f>Summary!C4</f>
        <v>0.79290000000000005</v>
      </c>
      <c r="G2" s="34">
        <f>Summary!D4</f>
        <v>0.81120088526963419</v>
      </c>
      <c r="H2" s="34">
        <f>Summary!E4</f>
        <v>0.89625925065207612</v>
      </c>
      <c r="I2" s="34">
        <f>Summary!F4</f>
        <v>0.89619942408054276</v>
      </c>
      <c r="J2" s="34">
        <f>Summary!G4</f>
        <v>0.89223014064282402</v>
      </c>
      <c r="K2" s="34">
        <f>Summary!H4</f>
        <v>0.88701016430925028</v>
      </c>
      <c r="L2" s="34">
        <f>Summary!I4</f>
        <v>0.88112494446004863</v>
      </c>
      <c r="M2" s="34">
        <f>Summary!J4</f>
        <v>0.89237992302155866</v>
      </c>
      <c r="N2" s="34">
        <f>Summary!K4</f>
        <v>0.8746490419933648</v>
      </c>
      <c r="O2" s="34">
        <f>Summary!L4</f>
        <v>0.8746490419933648</v>
      </c>
      <c r="P2" s="34">
        <f>Summary!M4</f>
        <v>0.8746490419933648</v>
      </c>
      <c r="Q2" s="34">
        <f>Summary!N4</f>
        <v>0.8746490419933648</v>
      </c>
    </row>
    <row r="3" spans="2:39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55" t="s">
        <v>9</v>
      </c>
      <c r="H3" s="56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  <c r="X3" s="36"/>
      <c r="Y3" s="158" t="s">
        <v>22</v>
      </c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36"/>
    </row>
    <row r="4" spans="2:39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125">
        <v>15151548951.902332</v>
      </c>
      <c r="G4" s="126">
        <f>16399663023.4286+1300000000</f>
        <v>17699663023.4286</v>
      </c>
      <c r="H4" s="57">
        <f>H2/G2*Table3611[[#This Row],[2023]]</f>
        <v>19555558932.729134</v>
      </c>
      <c r="I4" s="124">
        <f>I2/H2*Table3611[[#This Row],[2024]]</f>
        <v>19554253571.535358</v>
      </c>
      <c r="J4" s="124">
        <f>J2/I2*Table3611[[#This Row],[2025]]</f>
        <v>19467647429.249474</v>
      </c>
      <c r="K4" s="124">
        <f>K2/J2*Table3611[[#This Row],[2026]]</f>
        <v>19353752309.344845</v>
      </c>
      <c r="L4" s="124">
        <f>L2/K2*Table3611[[#This Row],[2027]]</f>
        <v>19225342183.023251</v>
      </c>
      <c r="M4" s="124">
        <f>M2/L2*Table3611[[#This Row],[2028]]</f>
        <v>19470915544.063686</v>
      </c>
      <c r="N4" s="124">
        <f>N2/M2*Table3611[[#This Row],[2029]]</f>
        <v>19084043901.038765</v>
      </c>
      <c r="O4" s="124">
        <f>O2/N2*Table3611[[#This Row],[2030]]</f>
        <v>19084043901.038765</v>
      </c>
      <c r="P4" s="124">
        <f>P2/O2*Table3611[[#This Row],[2031]]</f>
        <v>19084043901.038765</v>
      </c>
      <c r="Q4" s="134">
        <f>Q2/P2*Table3611[[#This Row],[2032]]</f>
        <v>19084043901.038765</v>
      </c>
      <c r="R4" s="69"/>
      <c r="X4" s="36"/>
      <c r="Y4" s="160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36"/>
    </row>
    <row r="5" spans="2:39" x14ac:dyDescent="0.2">
      <c r="G5" s="127"/>
      <c r="H5" s="59"/>
      <c r="I5" s="60"/>
      <c r="J5" s="60"/>
      <c r="K5" s="60"/>
      <c r="L5" s="60"/>
      <c r="M5" s="60"/>
      <c r="N5" s="60"/>
      <c r="O5" s="60"/>
      <c r="P5" s="60"/>
      <c r="Q5" s="60"/>
      <c r="X5" s="36"/>
      <c r="Y5" s="162" t="s">
        <v>23</v>
      </c>
      <c r="Z5" s="12" t="s">
        <v>24</v>
      </c>
      <c r="AA5" s="12" t="s">
        <v>25</v>
      </c>
      <c r="AB5" s="12" t="s">
        <v>26</v>
      </c>
      <c r="AC5" s="12" t="s">
        <v>27</v>
      </c>
      <c r="AD5" s="12" t="s">
        <v>28</v>
      </c>
      <c r="AE5" s="12" t="s">
        <v>29</v>
      </c>
      <c r="AF5" s="12" t="s">
        <v>30</v>
      </c>
      <c r="AG5" s="12" t="s">
        <v>31</v>
      </c>
      <c r="AH5" s="12" t="s">
        <v>32</v>
      </c>
      <c r="AI5" s="12" t="s">
        <v>33</v>
      </c>
      <c r="AJ5" s="12" t="s">
        <v>34</v>
      </c>
      <c r="AK5" s="12" t="s">
        <v>35</v>
      </c>
      <c r="AL5" s="13" t="s">
        <v>20</v>
      </c>
      <c r="AM5" s="36"/>
    </row>
    <row r="6" spans="2:39" x14ac:dyDescent="0.2">
      <c r="C6" s="61"/>
      <c r="D6" s="61"/>
      <c r="E6" s="61"/>
      <c r="F6" s="123"/>
      <c r="G6" s="128"/>
      <c r="H6" s="121"/>
      <c r="I6" s="62"/>
      <c r="J6" s="62"/>
      <c r="K6" s="60"/>
      <c r="L6" s="60"/>
      <c r="M6" s="60"/>
      <c r="N6" s="60"/>
      <c r="O6" s="60"/>
      <c r="P6" s="60"/>
      <c r="Q6" s="60"/>
      <c r="X6" s="36"/>
      <c r="Y6" s="16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36"/>
    </row>
    <row r="7" spans="2:39" x14ac:dyDescent="0.2">
      <c r="G7" s="127"/>
      <c r="H7" s="59"/>
      <c r="I7" s="60"/>
      <c r="J7" s="60"/>
      <c r="K7" s="60"/>
      <c r="L7" s="60"/>
      <c r="M7" s="60"/>
      <c r="N7" s="60"/>
      <c r="O7" s="60"/>
      <c r="P7" s="60"/>
      <c r="Q7" s="60"/>
      <c r="X7" s="36"/>
      <c r="Y7" s="39" t="s">
        <v>37</v>
      </c>
      <c r="Z7" s="40">
        <v>1828600993</v>
      </c>
      <c r="AA7" s="40">
        <v>1745141108</v>
      </c>
      <c r="AB7" s="40">
        <v>1942816860</v>
      </c>
      <c r="AC7" s="40">
        <v>1920153687</v>
      </c>
      <c r="AD7" s="40">
        <v>2095867421</v>
      </c>
      <c r="AE7" s="40">
        <v>1840315562</v>
      </c>
      <c r="AF7" s="40">
        <v>2153287355</v>
      </c>
      <c r="AG7" s="40">
        <v>1920548468</v>
      </c>
      <c r="AH7" s="40">
        <v>2083622376</v>
      </c>
      <c r="AI7" s="40">
        <v>2238172090</v>
      </c>
      <c r="AJ7" s="40">
        <v>2127067741</v>
      </c>
      <c r="AK7" s="40">
        <v>2064953768</v>
      </c>
      <c r="AL7" s="41">
        <f>SUM(Z7:AK7)</f>
        <v>23960547429</v>
      </c>
      <c r="AM7" s="36"/>
    </row>
    <row r="8" spans="2:39" x14ac:dyDescent="0.2">
      <c r="G8" s="129" t="s">
        <v>69</v>
      </c>
      <c r="H8" s="122" t="s">
        <v>70</v>
      </c>
      <c r="I8" s="60"/>
      <c r="J8" s="60"/>
      <c r="K8" s="60"/>
      <c r="L8" s="60"/>
      <c r="M8" s="60"/>
      <c r="N8" s="60"/>
      <c r="O8" s="60"/>
      <c r="P8" s="60"/>
      <c r="Q8" s="60"/>
      <c r="X8" s="36"/>
      <c r="Y8" s="39" t="s">
        <v>38</v>
      </c>
      <c r="Z8" s="40">
        <v>1464166513</v>
      </c>
      <c r="AA8" s="40">
        <v>1414936358</v>
      </c>
      <c r="AB8" s="40">
        <v>1357083300</v>
      </c>
      <c r="AC8" s="40">
        <v>1388031906</v>
      </c>
      <c r="AD8" s="40">
        <v>1607714938</v>
      </c>
      <c r="AE8" s="40">
        <v>1718436321</v>
      </c>
      <c r="AF8" s="40">
        <v>1752236298</v>
      </c>
      <c r="AG8" s="40">
        <v>1703714897</v>
      </c>
      <c r="AH8" s="40">
        <v>1643490893</v>
      </c>
      <c r="AI8" s="40">
        <v>1776976086</v>
      </c>
      <c r="AJ8" s="40">
        <v>1783782368</v>
      </c>
      <c r="AK8" s="40">
        <v>1573736392</v>
      </c>
      <c r="AL8" s="42">
        <f t="shared" ref="AL8:AL9" si="0">SUM(Z8:AK8)</f>
        <v>19184306270</v>
      </c>
      <c r="AM8" s="43"/>
    </row>
    <row r="9" spans="2:39" x14ac:dyDescent="0.2">
      <c r="G9" s="130" cm="1">
        <f t="array" ref="G9">Table3611[2023]-Table3611[2022]</f>
        <v>2548114071.526268</v>
      </c>
      <c r="H9" s="65">
        <f>G9/(G8*100)</f>
        <v>1084303860.2239437</v>
      </c>
      <c r="I9" s="60"/>
      <c r="J9" s="60"/>
      <c r="K9" s="60"/>
      <c r="L9" s="60"/>
      <c r="M9" s="60"/>
      <c r="N9" s="60"/>
      <c r="O9" s="60"/>
      <c r="P9" s="60"/>
      <c r="Q9" s="60"/>
      <c r="X9" s="36"/>
      <c r="Y9" s="39" t="s">
        <v>39</v>
      </c>
      <c r="Z9" s="40">
        <v>364434480</v>
      </c>
      <c r="AA9" s="40">
        <v>330204750</v>
      </c>
      <c r="AB9" s="40">
        <v>585733560</v>
      </c>
      <c r="AC9" s="40">
        <v>532121781</v>
      </c>
      <c r="AD9" s="40">
        <v>488152483</v>
      </c>
      <c r="AE9" s="40">
        <v>121879241</v>
      </c>
      <c r="AF9" s="40">
        <v>401051057</v>
      </c>
      <c r="AG9" s="40">
        <v>216833571</v>
      </c>
      <c r="AH9" s="40">
        <v>440131483</v>
      </c>
      <c r="AI9" s="40">
        <v>461196004</v>
      </c>
      <c r="AJ9" s="40">
        <v>343285373</v>
      </c>
      <c r="AK9" s="40">
        <v>491217376</v>
      </c>
      <c r="AL9" s="41">
        <f t="shared" si="0"/>
        <v>4776241159</v>
      </c>
      <c r="AM9" s="36"/>
    </row>
    <row r="10" spans="2:39" ht="17" thickBot="1" x14ac:dyDescent="0.25">
      <c r="G10" s="127"/>
      <c r="H10" s="59"/>
      <c r="I10" s="60"/>
      <c r="J10" s="60"/>
      <c r="K10" s="60"/>
      <c r="L10" s="60"/>
      <c r="M10" s="60"/>
      <c r="N10" s="60"/>
      <c r="O10" s="60"/>
      <c r="P10" s="60"/>
      <c r="Q10" s="60"/>
      <c r="X10" s="36"/>
      <c r="Y10" s="45" t="s">
        <v>40</v>
      </c>
      <c r="Z10" s="46">
        <v>0.2</v>
      </c>
      <c r="AA10" s="46">
        <v>0.19</v>
      </c>
      <c r="AB10" s="46">
        <v>0.3</v>
      </c>
      <c r="AC10" s="46">
        <v>0.28000000000000003</v>
      </c>
      <c r="AD10" s="46">
        <v>0.23</v>
      </c>
      <c r="AE10" s="46">
        <v>7.0000000000000007E-2</v>
      </c>
      <c r="AF10" s="46">
        <v>0.19</v>
      </c>
      <c r="AG10" s="46">
        <v>0.11</v>
      </c>
      <c r="AH10" s="46">
        <v>0.21</v>
      </c>
      <c r="AI10" s="46">
        <v>0.21</v>
      </c>
      <c r="AJ10" s="46">
        <v>0.16</v>
      </c>
      <c r="AK10" s="46">
        <v>0.24</v>
      </c>
      <c r="AL10" s="46">
        <v>0.2</v>
      </c>
      <c r="AM10" s="36"/>
    </row>
    <row r="11" spans="2:39" x14ac:dyDescent="0.2"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2:39" ht="17" thickBot="1" x14ac:dyDescent="0.25"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2:39" x14ac:dyDescent="0.2">
      <c r="X13" s="36"/>
      <c r="Y13" s="158" t="s">
        <v>41</v>
      </c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36"/>
    </row>
    <row r="14" spans="2:39" x14ac:dyDescent="0.2">
      <c r="G14" s="67" t="s">
        <v>73</v>
      </c>
      <c r="H14" s="68" t="s">
        <v>74</v>
      </c>
      <c r="X14" s="36"/>
      <c r="Y14" s="160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36"/>
    </row>
    <row r="15" spans="2:39" x14ac:dyDescent="0.2">
      <c r="X15" s="36"/>
      <c r="Y15" s="162" t="s">
        <v>23</v>
      </c>
      <c r="Z15" s="12" t="s">
        <v>24</v>
      </c>
      <c r="AA15" s="12" t="s">
        <v>25</v>
      </c>
      <c r="AB15" s="12" t="s">
        <v>26</v>
      </c>
      <c r="AC15" s="12" t="s">
        <v>27</v>
      </c>
      <c r="AD15" s="12" t="s">
        <v>28</v>
      </c>
      <c r="AE15" s="12" t="s">
        <v>29</v>
      </c>
      <c r="AF15" s="12" t="s">
        <v>30</v>
      </c>
      <c r="AG15" s="12" t="s">
        <v>31</v>
      </c>
      <c r="AH15" s="12" t="s">
        <v>32</v>
      </c>
      <c r="AI15" s="12" t="s">
        <v>33</v>
      </c>
      <c r="AJ15" s="12" t="s">
        <v>34</v>
      </c>
      <c r="AK15" s="12" t="s">
        <v>35</v>
      </c>
      <c r="AL15" s="13" t="s">
        <v>20</v>
      </c>
      <c r="AM15" s="36"/>
    </row>
    <row r="16" spans="2:39" x14ac:dyDescent="0.2">
      <c r="X16" s="36"/>
      <c r="Y16" s="163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6"/>
      <c r="AM16" s="36"/>
    </row>
    <row r="17" spans="7:39" x14ac:dyDescent="0.2">
      <c r="X17" s="36"/>
      <c r="Y17" s="39" t="s">
        <v>37</v>
      </c>
      <c r="Z17" s="40">
        <v>2009021736</v>
      </c>
      <c r="AA17" s="40">
        <v>1836306894</v>
      </c>
      <c r="AB17" s="40">
        <v>1768759442</v>
      </c>
      <c r="AC17" s="40">
        <v>1157413290</v>
      </c>
      <c r="AD17" s="40">
        <v>1199412435</v>
      </c>
      <c r="AE17" s="40">
        <v>1619526673</v>
      </c>
      <c r="AF17" s="40">
        <v>1627351749</v>
      </c>
      <c r="AG17" s="40">
        <v>1564795878</v>
      </c>
      <c r="AH17" s="40">
        <v>1510745790</v>
      </c>
      <c r="AI17" s="40">
        <v>1493415477</v>
      </c>
      <c r="AJ17" s="40">
        <v>1535571746</v>
      </c>
      <c r="AK17" s="40">
        <v>1464415465</v>
      </c>
      <c r="AL17" s="41">
        <f>SUM(Z17:AK17)</f>
        <v>18786736575</v>
      </c>
      <c r="AM17" s="36"/>
    </row>
    <row r="18" spans="7:39" x14ac:dyDescent="0.2">
      <c r="X18" s="36"/>
      <c r="Y18" s="39" t="s">
        <v>38</v>
      </c>
      <c r="Z18" s="40">
        <v>1712288558</v>
      </c>
      <c r="AA18" s="40">
        <v>1596078085</v>
      </c>
      <c r="AB18" s="40">
        <v>1409346910</v>
      </c>
      <c r="AC18" s="40">
        <v>1160923570</v>
      </c>
      <c r="AD18" s="40">
        <v>1169086255</v>
      </c>
      <c r="AE18" s="40">
        <v>1392279879</v>
      </c>
      <c r="AF18" s="40">
        <v>1385033678</v>
      </c>
      <c r="AG18" s="40">
        <v>1368693915</v>
      </c>
      <c r="AH18" s="40">
        <v>1243651553</v>
      </c>
      <c r="AI18" s="40">
        <v>1311902597</v>
      </c>
      <c r="AJ18" s="40">
        <v>1313255727</v>
      </c>
      <c r="AK18" s="40">
        <v>1211216593</v>
      </c>
      <c r="AL18" s="42">
        <f t="shared" ref="AL18:AL19" si="1">SUM(Z18:AK18)</f>
        <v>16273757320</v>
      </c>
      <c r="AM18" s="43"/>
    </row>
    <row r="19" spans="7:39" x14ac:dyDescent="0.2">
      <c r="X19" s="36"/>
      <c r="Y19" s="39" t="s">
        <v>39</v>
      </c>
      <c r="Z19" s="40">
        <v>296733178</v>
      </c>
      <c r="AA19" s="40">
        <v>240228809</v>
      </c>
      <c r="AB19" s="40">
        <v>359412532</v>
      </c>
      <c r="AC19" s="40">
        <v>-3510280</v>
      </c>
      <c r="AD19" s="40">
        <v>30326180</v>
      </c>
      <c r="AE19" s="40">
        <v>227246794</v>
      </c>
      <c r="AF19" s="40">
        <v>242318071</v>
      </c>
      <c r="AG19" s="40">
        <v>196101963</v>
      </c>
      <c r="AH19" s="40">
        <v>267094237</v>
      </c>
      <c r="AI19" s="40">
        <v>181512880</v>
      </c>
      <c r="AJ19" s="40">
        <v>222316019</v>
      </c>
      <c r="AK19" s="40">
        <v>253198872</v>
      </c>
      <c r="AL19" s="41">
        <f t="shared" si="1"/>
        <v>2512979255</v>
      </c>
      <c r="AM19" s="36"/>
    </row>
    <row r="20" spans="7:39" ht="17" thickBot="1" x14ac:dyDescent="0.25">
      <c r="X20" s="36"/>
      <c r="Y20" s="45" t="s">
        <v>40</v>
      </c>
      <c r="Z20" s="46">
        <v>0.15</v>
      </c>
      <c r="AA20" s="46">
        <v>0.13</v>
      </c>
      <c r="AB20" s="46">
        <v>0.2</v>
      </c>
      <c r="AC20" s="46">
        <v>0</v>
      </c>
      <c r="AD20" s="46">
        <v>0.03</v>
      </c>
      <c r="AE20" s="46">
        <v>0.14000000000000001</v>
      </c>
      <c r="AF20" s="46">
        <v>0.15</v>
      </c>
      <c r="AG20" s="46">
        <v>0.13</v>
      </c>
      <c r="AH20" s="46">
        <v>0.18</v>
      </c>
      <c r="AI20" s="46">
        <v>0.12</v>
      </c>
      <c r="AJ20" s="46">
        <v>0.14000000000000001</v>
      </c>
      <c r="AK20" s="46">
        <v>0.17</v>
      </c>
      <c r="AL20" s="46">
        <v>0.13</v>
      </c>
      <c r="AM20" s="36"/>
    </row>
    <row r="22" spans="7:39" ht="17" thickBot="1" x14ac:dyDescent="0.25"/>
    <row r="23" spans="7:39" ht="15" customHeight="1" x14ac:dyDescent="0.2">
      <c r="Y23" s="152" t="s">
        <v>42</v>
      </c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47"/>
    </row>
    <row r="24" spans="7:39" ht="15" customHeight="1" x14ac:dyDescent="0.2">
      <c r="Y24" s="154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47"/>
    </row>
    <row r="25" spans="7:39" ht="20.25" customHeight="1" x14ac:dyDescent="0.2">
      <c r="Y25" s="156" t="s">
        <v>23</v>
      </c>
      <c r="Z25" s="18" t="s">
        <v>24</v>
      </c>
      <c r="AA25" s="18" t="s">
        <v>25</v>
      </c>
      <c r="AB25" s="18" t="s">
        <v>26</v>
      </c>
      <c r="AC25" s="18" t="s">
        <v>27</v>
      </c>
      <c r="AD25" s="18" t="s">
        <v>28</v>
      </c>
      <c r="AE25" s="18" t="s">
        <v>29</v>
      </c>
      <c r="AF25" s="18" t="s">
        <v>30</v>
      </c>
      <c r="AG25" s="18" t="s">
        <v>31</v>
      </c>
      <c r="AH25" s="18" t="s">
        <v>32</v>
      </c>
      <c r="AI25" s="18" t="s">
        <v>33</v>
      </c>
      <c r="AJ25" s="18" t="s">
        <v>34</v>
      </c>
      <c r="AK25" s="18" t="s">
        <v>35</v>
      </c>
      <c r="AL25" s="19" t="s">
        <v>20</v>
      </c>
      <c r="AM25" s="47"/>
    </row>
    <row r="26" spans="7:39" ht="20.25" customHeight="1" x14ac:dyDescent="0.2">
      <c r="G26" s="133">
        <v>0.5</v>
      </c>
      <c r="H26" s="133">
        <v>1</v>
      </c>
      <c r="Y26" s="157"/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17" t="s">
        <v>36</v>
      </c>
      <c r="AM26" s="47"/>
    </row>
    <row r="27" spans="7:39" ht="20.25" customHeight="1" x14ac:dyDescent="0.2">
      <c r="G27" s="1">
        <v>25000000</v>
      </c>
      <c r="H27" s="1">
        <f>H26/G26*G27</f>
        <v>50000000</v>
      </c>
      <c r="Y27" s="48" t="s">
        <v>37</v>
      </c>
      <c r="Z27" s="49">
        <v>1385507695</v>
      </c>
      <c r="AA27" s="49">
        <v>1278895218</v>
      </c>
      <c r="AB27" s="49">
        <v>1553567914</v>
      </c>
      <c r="AC27" s="49">
        <v>1498335904</v>
      </c>
      <c r="AD27" s="49">
        <v>1513880023</v>
      </c>
      <c r="AE27" s="49">
        <v>1485989484</v>
      </c>
      <c r="AF27" s="49">
        <v>1202244634</v>
      </c>
      <c r="AG27" s="49">
        <v>1288769316</v>
      </c>
      <c r="AH27" s="49">
        <v>1473730335</v>
      </c>
      <c r="AI27" s="49">
        <v>1549826183</v>
      </c>
      <c r="AJ27" s="49">
        <v>1525332695</v>
      </c>
      <c r="AK27" s="49">
        <v>1570156148</v>
      </c>
      <c r="AL27" s="41">
        <f t="shared" ref="AL27:AL29" si="2">SUM(Z27:AK27)</f>
        <v>17326235549</v>
      </c>
      <c r="AM27" s="47"/>
    </row>
    <row r="28" spans="7:39" ht="20.25" customHeight="1" x14ac:dyDescent="0.2">
      <c r="Y28" s="48" t="s">
        <v>38</v>
      </c>
      <c r="Z28" s="49">
        <v>1240219258.4195299</v>
      </c>
      <c r="AA28" s="49">
        <v>1197401745.0401101</v>
      </c>
      <c r="AB28" s="49">
        <v>1265483275.2829499</v>
      </c>
      <c r="AC28" s="49">
        <v>1333070616.9105799</v>
      </c>
      <c r="AD28" s="49">
        <v>1313834759.7397101</v>
      </c>
      <c r="AE28" s="49">
        <v>1228318489.5090098</v>
      </c>
      <c r="AF28" s="49">
        <v>1066084813.28306</v>
      </c>
      <c r="AG28" s="49">
        <v>1143888148.5901999</v>
      </c>
      <c r="AH28" s="49">
        <v>1297990406.0931401</v>
      </c>
      <c r="AI28" s="49">
        <v>1329996337.9634202</v>
      </c>
      <c r="AJ28" s="49">
        <v>1295071113.35763</v>
      </c>
      <c r="AK28" s="49">
        <v>1263656140.3652401</v>
      </c>
      <c r="AL28" s="42">
        <f t="shared" si="2"/>
        <v>14975015104.554581</v>
      </c>
      <c r="AM28" s="47"/>
    </row>
    <row r="29" spans="7:39" ht="20.25" customHeight="1" x14ac:dyDescent="0.2">
      <c r="Y29" s="48" t="s">
        <v>39</v>
      </c>
      <c r="Z29" s="49">
        <f t="shared" ref="Z29:AK29" si="3">Z27-Z28</f>
        <v>145288436.58047009</v>
      </c>
      <c r="AA29" s="49">
        <f t="shared" si="3"/>
        <v>81493472.959889889</v>
      </c>
      <c r="AB29" s="49">
        <f t="shared" si="3"/>
        <v>288084638.71705008</v>
      </c>
      <c r="AC29" s="49">
        <f t="shared" si="3"/>
        <v>165265287.08942008</v>
      </c>
      <c r="AD29" s="49">
        <f t="shared" si="3"/>
        <v>200045263.26028991</v>
      </c>
      <c r="AE29" s="49">
        <f t="shared" si="3"/>
        <v>257670994.49099016</v>
      </c>
      <c r="AF29" s="49">
        <f t="shared" si="3"/>
        <v>136159820.71694005</v>
      </c>
      <c r="AG29" s="49">
        <f t="shared" si="3"/>
        <v>144881167.40980005</v>
      </c>
      <c r="AH29" s="49">
        <f t="shared" si="3"/>
        <v>175739928.90685987</v>
      </c>
      <c r="AI29" s="49">
        <f t="shared" si="3"/>
        <v>219829845.03657985</v>
      </c>
      <c r="AJ29" s="49">
        <f t="shared" si="3"/>
        <v>230261581.64236999</v>
      </c>
      <c r="AK29" s="49">
        <f t="shared" si="3"/>
        <v>306500007.6347599</v>
      </c>
      <c r="AL29" s="41">
        <f t="shared" si="2"/>
        <v>2351220444.4454198</v>
      </c>
      <c r="AM29" s="47"/>
    </row>
    <row r="30" spans="7:39" ht="20.25" customHeight="1" thickBot="1" x14ac:dyDescent="0.25">
      <c r="Y30" s="50" t="s">
        <v>40</v>
      </c>
      <c r="Z30" s="51">
        <f>Z29/Z27</f>
        <v>0.1048629589750998</v>
      </c>
      <c r="AA30" s="51">
        <f t="shared" ref="AA30:AL30" si="4">AA29/AA27</f>
        <v>6.3721774710623624E-2</v>
      </c>
      <c r="AB30" s="51">
        <f t="shared" si="4"/>
        <v>0.18543420993763526</v>
      </c>
      <c r="AC30" s="51">
        <f t="shared" si="4"/>
        <v>0.11029922372428184</v>
      </c>
      <c r="AD30" s="51">
        <f t="shared" si="4"/>
        <v>0.13214076427527435</v>
      </c>
      <c r="AE30" s="51">
        <f t="shared" si="4"/>
        <v>0.1734002812707591</v>
      </c>
      <c r="AF30" s="51">
        <f t="shared" si="4"/>
        <v>0.11325467119276827</v>
      </c>
      <c r="AG30" s="51">
        <f t="shared" si="4"/>
        <v>0.11241823157263937</v>
      </c>
      <c r="AH30" s="51">
        <f t="shared" si="4"/>
        <v>0.11924836229068995</v>
      </c>
      <c r="AI30" s="51">
        <f t="shared" si="4"/>
        <v>0.14184161259364905</v>
      </c>
      <c r="AJ30" s="51">
        <f t="shared" si="4"/>
        <v>0.15095826792224498</v>
      </c>
      <c r="AK30" s="51">
        <f t="shared" si="4"/>
        <v>0.19520352037927372</v>
      </c>
      <c r="AL30" s="51">
        <f t="shared" si="4"/>
        <v>0.13570290198329449</v>
      </c>
      <c r="AM30" s="47"/>
    </row>
    <row r="31" spans="7:39" x14ac:dyDescent="0.2">
      <c r="AM31" s="47"/>
    </row>
    <row r="32" spans="7:39" ht="17" thickBot="1" x14ac:dyDescent="0.25">
      <c r="AM32" s="47"/>
    </row>
    <row r="33" spans="25:39" ht="15" customHeight="1" x14ac:dyDescent="0.2">
      <c r="Y33" s="152" t="s">
        <v>43</v>
      </c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47"/>
    </row>
    <row r="34" spans="25:39" ht="15" customHeight="1" x14ac:dyDescent="0.2">
      <c r="Y34" s="154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47"/>
    </row>
    <row r="35" spans="25:39" ht="20.25" customHeight="1" x14ac:dyDescent="0.2">
      <c r="Y35" s="156" t="s">
        <v>23</v>
      </c>
      <c r="Z35" s="18" t="s">
        <v>24</v>
      </c>
      <c r="AA35" s="18" t="s">
        <v>25</v>
      </c>
      <c r="AB35" s="18" t="s">
        <v>26</v>
      </c>
      <c r="AC35" s="18" t="s">
        <v>27</v>
      </c>
      <c r="AD35" s="18" t="s">
        <v>28</v>
      </c>
      <c r="AE35" s="18" t="s">
        <v>29</v>
      </c>
      <c r="AF35" s="18" t="s">
        <v>30</v>
      </c>
      <c r="AG35" s="18" t="s">
        <v>31</v>
      </c>
      <c r="AH35" s="18" t="s">
        <v>32</v>
      </c>
      <c r="AI35" s="18" t="s">
        <v>33</v>
      </c>
      <c r="AJ35" s="18" t="s">
        <v>34</v>
      </c>
      <c r="AK35" s="18" t="s">
        <v>35</v>
      </c>
      <c r="AL35" s="19" t="s">
        <v>20</v>
      </c>
      <c r="AM35" s="47"/>
    </row>
    <row r="36" spans="25:39" ht="20.25" customHeight="1" x14ac:dyDescent="0.2">
      <c r="Y36" s="157"/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17" t="s">
        <v>36</v>
      </c>
      <c r="AM36" s="47"/>
    </row>
    <row r="37" spans="25:39" ht="20.25" customHeight="1" x14ac:dyDescent="0.2">
      <c r="Y37" s="48" t="s">
        <v>37</v>
      </c>
      <c r="Z37" s="49">
        <v>1527852327</v>
      </c>
      <c r="AA37" s="49">
        <v>1226812465</v>
      </c>
      <c r="AB37" s="49">
        <v>1466469354</v>
      </c>
      <c r="AC37" s="49">
        <v>1446350581</v>
      </c>
      <c r="AD37" s="49">
        <v>1485219611</v>
      </c>
      <c r="AE37" s="49">
        <v>1612400274</v>
      </c>
      <c r="AF37" s="49">
        <v>1665229226</v>
      </c>
      <c r="AG37" s="49">
        <v>1734078744</v>
      </c>
      <c r="AH37" s="49"/>
      <c r="AI37" s="49"/>
      <c r="AJ37" s="49"/>
      <c r="AK37" s="49"/>
      <c r="AL37" s="41">
        <f t="shared" ref="AL37:AL39" si="5">SUM(Z37:AK37)</f>
        <v>12164412582</v>
      </c>
      <c r="AM37" s="47"/>
    </row>
    <row r="38" spans="25:39" ht="20.25" customHeight="1" x14ac:dyDescent="0.2">
      <c r="Y38" s="48" t="s">
        <v>38</v>
      </c>
      <c r="Z38" s="49">
        <v>1236166307.58197</v>
      </c>
      <c r="AA38" s="49">
        <v>1030169987.7952399</v>
      </c>
      <c r="AB38" s="49">
        <v>1155845619.4536901</v>
      </c>
      <c r="AC38" s="49">
        <v>1207562673.16517</v>
      </c>
      <c r="AD38" s="49">
        <v>1249363782.98457</v>
      </c>
      <c r="AE38" s="49">
        <v>1285715886.2481</v>
      </c>
      <c r="AF38" s="49">
        <v>1357633776.09799</v>
      </c>
      <c r="AG38" s="49">
        <v>1325818183.7151198</v>
      </c>
      <c r="AH38" s="49">
        <v>1325818183.7151198</v>
      </c>
      <c r="AI38" s="49">
        <v>1325818183.7151198</v>
      </c>
      <c r="AJ38" s="49">
        <v>1325818183.7151198</v>
      </c>
      <c r="AK38" s="49">
        <v>1325818183.7151198</v>
      </c>
      <c r="AL38" s="42">
        <f t="shared" si="5"/>
        <v>15151548951.902332</v>
      </c>
      <c r="AM38" s="47"/>
    </row>
    <row r="39" spans="25:39" ht="20.25" customHeight="1" x14ac:dyDescent="0.2">
      <c r="Y39" s="48" t="s">
        <v>39</v>
      </c>
      <c r="Z39" s="49">
        <f t="shared" ref="Z39:AD39" si="6">Z37-Z38</f>
        <v>291686019.41803002</v>
      </c>
      <c r="AA39" s="49">
        <f t="shared" si="6"/>
        <v>196642477.20476007</v>
      </c>
      <c r="AB39" s="49">
        <f t="shared" si="6"/>
        <v>310623734.54630995</v>
      </c>
      <c r="AC39" s="49">
        <f t="shared" si="6"/>
        <v>238787907.83483005</v>
      </c>
      <c r="AD39" s="49">
        <f t="shared" si="6"/>
        <v>235855828.01542997</v>
      </c>
      <c r="AE39" s="52">
        <f>AE37-AE38</f>
        <v>326684387.75189996</v>
      </c>
      <c r="AF39" s="52">
        <f>AF37-AF38</f>
        <v>307595449.90200996</v>
      </c>
      <c r="AG39" s="52">
        <f>AG37-AG38</f>
        <v>408260560.28488016</v>
      </c>
      <c r="AH39" s="49"/>
      <c r="AI39" s="49"/>
      <c r="AJ39" s="49"/>
      <c r="AK39" s="49"/>
      <c r="AL39" s="41">
        <f t="shared" si="5"/>
        <v>2316136364.9581499</v>
      </c>
      <c r="AM39" s="47"/>
    </row>
    <row r="40" spans="25:39" ht="20.25" customHeight="1" thickBot="1" x14ac:dyDescent="0.25">
      <c r="Y40" s="50" t="s">
        <v>40</v>
      </c>
      <c r="Z40" s="51">
        <f>Z39/Z37</f>
        <v>0.19091244242875707</v>
      </c>
      <c r="AA40" s="51">
        <f t="shared" ref="AA40:AG40" si="7">AA39/AA37</f>
        <v>0.16028731596296591</v>
      </c>
      <c r="AB40" s="51">
        <f t="shared" si="7"/>
        <v>0.21181740600241003</v>
      </c>
      <c r="AC40" s="51">
        <f t="shared" si="7"/>
        <v>0.16509683818824425</v>
      </c>
      <c r="AD40" s="51">
        <f t="shared" si="7"/>
        <v>0.15880198878913804</v>
      </c>
      <c r="AE40" s="51">
        <f t="shared" si="7"/>
        <v>0.20260749952706841</v>
      </c>
      <c r="AF40" s="51">
        <f t="shared" si="7"/>
        <v>0.18471658141676764</v>
      </c>
      <c r="AG40" s="51">
        <f t="shared" si="7"/>
        <v>0.23543369163452485</v>
      </c>
      <c r="AH40" s="51"/>
      <c r="AI40" s="51"/>
      <c r="AJ40" s="51"/>
      <c r="AK40" s="51"/>
      <c r="AL40" s="51">
        <f>AL39/AL37</f>
        <v>0.19040264783401029</v>
      </c>
      <c r="AM40" s="47"/>
    </row>
  </sheetData>
  <mergeCells count="8">
    <mergeCell ref="Y33:AL34"/>
    <mergeCell ref="Y35:Y36"/>
    <mergeCell ref="Y3:AL4"/>
    <mergeCell ref="Y5:Y6"/>
    <mergeCell ref="Y13:AL14"/>
    <mergeCell ref="Y15:Y16"/>
    <mergeCell ref="Y23:AL24"/>
    <mergeCell ref="Y25:Y2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EE6B7C7-6802-9D47-B81C-A48604A6CA6A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Listrik!C4:Q4</xm:f>
              <xm:sqref>R4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R15"/>
  <sheetViews>
    <sheetView showGridLines="0" topLeftCell="D1" zoomScale="115" workbookViewId="0">
      <selection activeCell="K10" sqref="K10"/>
    </sheetView>
  </sheetViews>
  <sheetFormatPr baseColWidth="10" defaultRowHeight="16" x14ac:dyDescent="0.2"/>
  <cols>
    <col min="1" max="1" width="10.83203125" style="1"/>
    <col min="2" max="2" width="10.83203125" style="23"/>
    <col min="3" max="5" width="7.83203125" style="1" customWidth="1"/>
    <col min="6" max="17" width="18.1640625" style="1" customWidth="1"/>
    <col min="18" max="16384" width="10.83203125" style="1"/>
  </cols>
  <sheetData>
    <row r="2" spans="2:18" x14ac:dyDescent="0.2">
      <c r="E2" s="33"/>
      <c r="F2" s="34"/>
      <c r="G2" s="34"/>
      <c r="H2" s="34"/>
      <c r="I2" s="34"/>
      <c r="J2" s="34"/>
      <c r="K2" s="70"/>
      <c r="L2" s="34"/>
      <c r="M2" s="34"/>
      <c r="N2" s="34"/>
      <c r="O2" s="34"/>
      <c r="P2" s="34"/>
      <c r="Q2" s="34"/>
    </row>
    <row r="3" spans="2:18" s="35" customFormat="1" ht="20" customHeight="1" x14ac:dyDescent="0.2">
      <c r="B3" s="6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55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23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57"/>
      <c r="L4" s="58"/>
      <c r="M4" s="58"/>
      <c r="N4" s="58"/>
      <c r="O4" s="58"/>
      <c r="P4" s="58"/>
      <c r="Q4" s="58"/>
    </row>
    <row r="5" spans="2:18" ht="20" customHeight="1" x14ac:dyDescent="0.2">
      <c r="B5" s="23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57"/>
      <c r="L5" s="58"/>
      <c r="M5" s="58"/>
      <c r="N5" s="58"/>
      <c r="O5" s="58"/>
      <c r="P5" s="58"/>
      <c r="Q5" s="58"/>
    </row>
    <row r="6" spans="2:18" ht="20" customHeight="1" x14ac:dyDescent="0.2">
      <c r="B6" s="23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57"/>
      <c r="L6" s="58"/>
      <c r="M6" s="58"/>
      <c r="N6" s="58"/>
      <c r="O6" s="58"/>
      <c r="P6" s="58"/>
      <c r="Q6" s="58"/>
    </row>
    <row r="7" spans="2:18" ht="20" customHeight="1" x14ac:dyDescent="0.2">
      <c r="B7" s="23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57"/>
      <c r="L7" s="58"/>
      <c r="M7" s="58"/>
      <c r="N7" s="58"/>
      <c r="O7" s="58"/>
      <c r="P7" s="58"/>
      <c r="Q7" s="58"/>
    </row>
    <row r="8" spans="2:18" ht="20" customHeight="1" x14ac:dyDescent="0.2">
      <c r="B8" s="23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57"/>
      <c r="L8" s="58"/>
      <c r="M8" s="58"/>
      <c r="N8" s="58"/>
      <c r="O8" s="58"/>
      <c r="P8" s="58"/>
      <c r="Q8" s="58"/>
    </row>
    <row r="9" spans="2:18" ht="20" customHeight="1" thickBot="1" x14ac:dyDescent="0.25">
      <c r="F9" s="8"/>
      <c r="G9" s="8"/>
      <c r="H9" s="8"/>
      <c r="I9" s="8"/>
      <c r="J9" s="8"/>
      <c r="K9" s="57"/>
      <c r="L9" s="58"/>
      <c r="M9" s="58"/>
      <c r="N9" s="58"/>
      <c r="O9" s="58"/>
      <c r="P9" s="58"/>
      <c r="Q9" s="58"/>
    </row>
    <row r="10" spans="2:18" ht="20" customHeight="1" thickBot="1" x14ac:dyDescent="0.25">
      <c r="B10" s="23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65">
        <f>Table3[[#Totals],[2026]]+K12</f>
        <v>20493183023.468571</v>
      </c>
      <c r="L10" s="66">
        <f>Table3[[#Totals],[2027]]+L12</f>
        <v>21093183023.468571</v>
      </c>
      <c r="M10" s="66">
        <f>Table3[[#Totals],[2028]]+M12</f>
        <v>21693183023.468571</v>
      </c>
      <c r="N10" s="66">
        <f>Table3[[#Totals],[2029]]+N12</f>
        <v>22293183023.468571</v>
      </c>
      <c r="O10" s="66">
        <f>Table3[[#Totals],[2030]]+O12</f>
        <v>22893183023.468571</v>
      </c>
      <c r="P10" s="66">
        <f>Table3[[#Totals],[2031]]+P12</f>
        <v>23493183023.468571</v>
      </c>
      <c r="Q10" s="66">
        <f>Table3[[#Totals],[2032]]+Q12</f>
        <v>24093183023.468571</v>
      </c>
      <c r="R10" s="69"/>
    </row>
    <row r="11" spans="2:18" ht="20" customHeight="1" x14ac:dyDescent="0.2">
      <c r="K11" s="59"/>
      <c r="L11" s="60"/>
      <c r="M11" s="60"/>
      <c r="N11" s="60"/>
      <c r="O11" s="60"/>
      <c r="P11" s="60"/>
      <c r="Q11" s="60"/>
    </row>
    <row r="12" spans="2:18" ht="20" customHeight="1" x14ac:dyDescent="0.2">
      <c r="B12" s="23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65">
        <v>600000000</v>
      </c>
      <c r="L12" s="66">
        <v>600000000</v>
      </c>
      <c r="M12" s="66">
        <v>600000000</v>
      </c>
      <c r="N12" s="66">
        <v>600000000</v>
      </c>
      <c r="O12" s="66">
        <v>600000000</v>
      </c>
      <c r="P12" s="66">
        <v>600000000</v>
      </c>
      <c r="Q12" s="66">
        <v>600000000</v>
      </c>
    </row>
    <row r="13" spans="2:18" ht="20" customHeight="1" x14ac:dyDescent="0.2"/>
    <row r="14" spans="2:18" ht="20" customHeight="1" x14ac:dyDescent="0.2"/>
    <row r="15" spans="2:18" ht="20" customHeight="1" x14ac:dyDescent="0.2">
      <c r="J15" s="67" t="s">
        <v>71</v>
      </c>
      <c r="K15" s="6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R10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R19"/>
  <sheetViews>
    <sheetView showGridLines="0" topLeftCell="B1" zoomScale="109" workbookViewId="0">
      <selection activeCell="J37" sqref="J37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1" width="17.5" style="1" customWidth="1"/>
    <col min="12" max="13" width="17" style="1" bestFit="1" customWidth="1"/>
    <col min="14" max="15" width="17.5" style="1" customWidth="1"/>
    <col min="16" max="17" width="18.1640625" style="1" bestFit="1" customWidth="1"/>
    <col min="18" max="16384" width="10.83203125" style="1"/>
  </cols>
  <sheetData>
    <row r="2" spans="2:18" x14ac:dyDescent="0.2">
      <c r="E2" s="33" t="s">
        <v>55</v>
      </c>
      <c r="F2" s="34">
        <f>Summary!$D$4</f>
        <v>0.81120088526963419</v>
      </c>
      <c r="G2" s="34">
        <f>Summary!$E$4</f>
        <v>0.89625925065207612</v>
      </c>
      <c r="H2" s="53">
        <f>Summary!$F$4</f>
        <v>0.89619942408054276</v>
      </c>
      <c r="I2" s="54">
        <f>Summary!$G$4</f>
        <v>0.89223014064282402</v>
      </c>
      <c r="J2" s="54">
        <f>Summary!$H$4</f>
        <v>0.88701016430925028</v>
      </c>
      <c r="K2" s="54">
        <f>Summary!$I$4</f>
        <v>0.88112494446004863</v>
      </c>
      <c r="L2" s="54">
        <f>Summary!$J$4</f>
        <v>0.89237992302155866</v>
      </c>
      <c r="M2" s="54">
        <f>Summary!$K$4</f>
        <v>0.8746490419933648</v>
      </c>
      <c r="N2" s="54">
        <f>Summary!$L$4</f>
        <v>0.8746490419933648</v>
      </c>
      <c r="O2" s="54">
        <f>Summary!$M$4</f>
        <v>0.8746490419933648</v>
      </c>
      <c r="P2" s="54">
        <f>Summary!$N$4</f>
        <v>0.8746490419933648</v>
      </c>
      <c r="Q2" s="54">
        <f>Summary!$N$4</f>
        <v>0.8746490419933648</v>
      </c>
    </row>
    <row r="3" spans="2:18" s="35" customFormat="1" ht="20" customHeight="1" x14ac:dyDescent="0.2">
      <c r="B3" s="35" t="s">
        <v>46</v>
      </c>
      <c r="C3" s="35" t="s">
        <v>117</v>
      </c>
      <c r="D3" s="35" t="s">
        <v>118</v>
      </c>
      <c r="E3" s="35" t="s">
        <v>116</v>
      </c>
      <c r="F3" s="35" t="s">
        <v>45</v>
      </c>
      <c r="G3" s="35" t="s">
        <v>9</v>
      </c>
      <c r="H3" s="55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1" t="s">
        <v>51</v>
      </c>
      <c r="C4" s="133">
        <v>0.02</v>
      </c>
      <c r="D4" s="133">
        <v>0.02</v>
      </c>
      <c r="F4" s="8">
        <v>2119520000</v>
      </c>
      <c r="G4" s="8">
        <v>2564398500</v>
      </c>
      <c r="H4" s="57">
        <v>2677793528</v>
      </c>
      <c r="I4" s="66">
        <f>Table4[[#This Row],[2024]]*(100%+Table4[[#This Row],[Inc1]])</f>
        <v>2731349398.5599999</v>
      </c>
      <c r="J4" s="66">
        <f>Table4[[#This Row],[2025]]*(100%+Table4[[#This Row],[Inc2]])</f>
        <v>2785976386.5311999</v>
      </c>
      <c r="K4" s="66">
        <f>Table4[[#This Row],[2026]]*(100%+Table4[[#This Row],[Inc2]])</f>
        <v>2841695914.2618241</v>
      </c>
      <c r="L4" s="66">
        <f>Table4[[#This Row],[2027]]*(100%+Table4[[#This Row],[Inc2]])</f>
        <v>2898529832.5470605</v>
      </c>
      <c r="M4" s="66">
        <f>Table4[[#This Row],[2028]]*(100%+Table4[[#This Row],[Inc2]])</f>
        <v>2956500429.1980019</v>
      </c>
      <c r="N4" s="66">
        <f>Table4[[#This Row],[2029]]*(100%+Table4[[#This Row],[Inc2]])</f>
        <v>3015630437.7819619</v>
      </c>
      <c r="O4" s="66">
        <f>Table4[[#This Row],[2030]]*(100%+Table4[[#This Row],[Inc2]])</f>
        <v>3075943046.537601</v>
      </c>
      <c r="P4" s="66">
        <f>Table4[[#This Row],[2031]]*(100%+Table4[[#This Row],[Inc2]])</f>
        <v>3137461907.4683533</v>
      </c>
      <c r="Q4" s="66">
        <f>Table4[[#This Row],[2032]]*(100%+Table4[[#This Row],[Inc2]])</f>
        <v>3200211145.6177206</v>
      </c>
    </row>
    <row r="5" spans="2:18" ht="20" customHeight="1" x14ac:dyDescent="0.2">
      <c r="B5" s="1" t="s">
        <v>52</v>
      </c>
      <c r="C5" s="133">
        <v>0.02</v>
      </c>
      <c r="D5" s="133">
        <v>0.02</v>
      </c>
      <c r="F5" s="8">
        <v>1175988000</v>
      </c>
      <c r="G5" s="8">
        <v>1279719000</v>
      </c>
      <c r="H5" s="57">
        <v>1300040920</v>
      </c>
      <c r="I5" s="66">
        <f>Table4[[#This Row],[2024]]*(100%+Table4[[#This Row],[Inc1]])</f>
        <v>1326041738.4000001</v>
      </c>
      <c r="J5" s="66">
        <f>Table4[[#This Row],[2025]]*(100%+Table4[[#This Row],[Inc2]])</f>
        <v>1352562573.1680002</v>
      </c>
      <c r="K5" s="66">
        <f>Table4[[#This Row],[2026]]*(100%+Table4[[#This Row],[Inc2]])</f>
        <v>1379613824.6313603</v>
      </c>
      <c r="L5" s="66">
        <f>Table4[[#This Row],[2027]]*(100%+Table4[[#This Row],[Inc2]])</f>
        <v>1407206101.1239874</v>
      </c>
      <c r="M5" s="66">
        <f>Table4[[#This Row],[2028]]*(100%+Table4[[#This Row],[Inc2]])</f>
        <v>1435350223.1464672</v>
      </c>
      <c r="N5" s="66">
        <f>Table4[[#This Row],[2029]]*(100%+Table4[[#This Row],[Inc2]])</f>
        <v>1464057227.6093967</v>
      </c>
      <c r="O5" s="66">
        <f>Table4[[#This Row],[2030]]*(100%+Table4[[#This Row],[Inc2]])</f>
        <v>1493338372.1615846</v>
      </c>
      <c r="P5" s="66">
        <f>Table4[[#This Row],[2031]]*(100%+Table4[[#This Row],[Inc2]])</f>
        <v>1523205139.6048164</v>
      </c>
      <c r="Q5" s="66">
        <f>Table4[[#This Row],[2032]]*(100%+Table4[[#This Row],[Inc2]])</f>
        <v>1553669242.3969128</v>
      </c>
    </row>
    <row r="6" spans="2:18" ht="20" customHeight="1" x14ac:dyDescent="0.2">
      <c r="B6" s="1" t="s">
        <v>53</v>
      </c>
      <c r="C6" s="133">
        <v>0.05</v>
      </c>
      <c r="D6" s="133">
        <v>0.02</v>
      </c>
      <c r="F6" s="8">
        <v>2194183139</v>
      </c>
      <c r="G6" s="8">
        <v>2656100000</v>
      </c>
      <c r="H6" s="57">
        <v>3494800000</v>
      </c>
      <c r="I6" s="66">
        <f>Table4[[#This Row],[2024]]*(100%+Table4[[#This Row],[Inc1]])</f>
        <v>3669540000</v>
      </c>
      <c r="J6" s="66">
        <f>Table4[[#This Row],[2025]]*(100%+Table4[[#This Row],[Inc2]])</f>
        <v>3742930800</v>
      </c>
      <c r="K6" s="66">
        <f>Table4[[#This Row],[2026]]*(100%+Table4[[#This Row],[Inc2]])</f>
        <v>3817789416</v>
      </c>
      <c r="L6" s="66">
        <f>Table4[[#This Row],[2027]]*(100%+Table4[[#This Row],[Inc2]])</f>
        <v>3894145204.3200002</v>
      </c>
      <c r="M6" s="66">
        <f>Table4[[#This Row],[2028]]*(100%+Table4[[#This Row],[Inc2]])</f>
        <v>3972028108.4064002</v>
      </c>
      <c r="N6" s="66">
        <f>Table4[[#This Row],[2029]]*(100%+Table4[[#This Row],[Inc2]])</f>
        <v>4051468670.5745282</v>
      </c>
      <c r="O6" s="66">
        <f>Table4[[#This Row],[2030]]*(100%+Table4[[#This Row],[Inc2]])</f>
        <v>4132498043.9860187</v>
      </c>
      <c r="P6" s="66">
        <f>Table4[[#This Row],[2031]]*(100%+Table4[[#This Row],[Inc2]])</f>
        <v>4215148004.8657389</v>
      </c>
      <c r="Q6" s="66">
        <f>Table4[[#This Row],[2032]]*(100%+Table4[[#This Row],[Inc2]])</f>
        <v>4299450964.9630537</v>
      </c>
    </row>
    <row r="7" spans="2:18" ht="20" customHeight="1" thickBot="1" x14ac:dyDescent="0.25">
      <c r="B7" s="1" t="s">
        <v>54</v>
      </c>
      <c r="C7" s="133">
        <v>0.05</v>
      </c>
      <c r="D7" s="133">
        <v>0.02</v>
      </c>
      <c r="F7" s="8">
        <v>657930000</v>
      </c>
      <c r="G7" s="8">
        <v>778680000</v>
      </c>
      <c r="H7" s="57">
        <v>988800000</v>
      </c>
      <c r="I7" s="66">
        <f>Table4[[#This Row],[2024]]*(100%+Table4[[#This Row],[Inc1]])</f>
        <v>1038240000</v>
      </c>
      <c r="J7" s="66">
        <f>Table4[[#This Row],[2025]]*(100%+Table4[[#This Row],[Inc2]])</f>
        <v>1059004800</v>
      </c>
      <c r="K7" s="66">
        <f>Table4[[#This Row],[2026]]*(100%+Table4[[#This Row],[Inc2]])</f>
        <v>1080184896</v>
      </c>
      <c r="L7" s="66">
        <f>Table4[[#This Row],[2027]]*(100%+Table4[[#This Row],[Inc2]])</f>
        <v>1101788593.9200001</v>
      </c>
      <c r="M7" s="66">
        <f>Table4[[#This Row],[2028]]*(100%+Table4[[#This Row],[Inc2]])</f>
        <v>1123824365.7984002</v>
      </c>
      <c r="N7" s="66">
        <f>Table4[[#This Row],[2029]]*(100%+Table4[[#This Row],[Inc2]])</f>
        <v>1146300853.1143682</v>
      </c>
      <c r="O7" s="66">
        <f>Table4[[#This Row],[2030]]*(100%+Table4[[#This Row],[Inc2]])</f>
        <v>1169226870.1766555</v>
      </c>
      <c r="P7" s="66">
        <f>Table4[[#This Row],[2031]]*(100%+Table4[[#This Row],[Inc2]])</f>
        <v>1192611407.5801888</v>
      </c>
      <c r="Q7" s="66">
        <f>Table4[[#This Row],[2032]]*(100%+Table4[[#This Row],[Inc2]])</f>
        <v>1216463635.7317924</v>
      </c>
    </row>
    <row r="8" spans="2:18" ht="20" customHeight="1" thickBot="1" x14ac:dyDescent="0.25">
      <c r="B8" s="1" t="s">
        <v>20</v>
      </c>
      <c r="F8" s="9">
        <f>SUBTOTAL(109,Table4[2022])</f>
        <v>6147621139</v>
      </c>
      <c r="G8" s="9">
        <f>SUBTOTAL(109,Table4[2023])</f>
        <v>7278897500</v>
      </c>
      <c r="H8" s="71">
        <f>SUBTOTAL(109,Table4[2024])</f>
        <v>8461434448</v>
      </c>
      <c r="I8" s="72">
        <f>SUBTOTAL(109,Table4[2025])</f>
        <v>8765171136.9599991</v>
      </c>
      <c r="J8" s="72">
        <f>SUBTOTAL(109,Table4[2026])</f>
        <v>8940474559.6991997</v>
      </c>
      <c r="K8" s="72">
        <f>SUBTOTAL(109,Table4[2027])</f>
        <v>9119284050.8931847</v>
      </c>
      <c r="L8" s="72">
        <f>SUBTOTAL(109,Table4[2028])</f>
        <v>9301669731.9110489</v>
      </c>
      <c r="M8" s="72">
        <f>SUBTOTAL(109,Table4[2029])</f>
        <v>9487703126.5492706</v>
      </c>
      <c r="N8" s="72">
        <f>SUBTOTAL(109,Table4[2030])</f>
        <v>9677457189.0802555</v>
      </c>
      <c r="O8" s="72">
        <f>SUBTOTAL(109,Table4[2031])</f>
        <v>9871006332.8618584</v>
      </c>
      <c r="P8" s="72">
        <f>SUBTOTAL(109,Table4[2032])</f>
        <v>10068426459.519096</v>
      </c>
      <c r="Q8" s="72">
        <f>SUBTOTAL(109,Table4[2033])</f>
        <v>10269794988.70948</v>
      </c>
      <c r="R8" s="69"/>
    </row>
    <row r="9" spans="2:18" ht="20" customHeight="1" x14ac:dyDescent="0.2">
      <c r="C9" s="8"/>
      <c r="D9" s="8"/>
      <c r="H9" s="59"/>
      <c r="I9" s="60"/>
      <c r="J9" s="60"/>
      <c r="K9" s="60"/>
      <c r="L9" s="60"/>
      <c r="M9" s="60"/>
      <c r="N9" s="60"/>
      <c r="O9" s="60"/>
      <c r="P9" s="60"/>
      <c r="Q9" s="60"/>
    </row>
    <row r="10" spans="2:18" ht="20" customHeight="1" x14ac:dyDescent="0.2">
      <c r="C10" s="8"/>
      <c r="D10" s="8"/>
      <c r="H10" s="63" t="s">
        <v>69</v>
      </c>
      <c r="I10" s="64" t="s">
        <v>70</v>
      </c>
      <c r="J10" s="60"/>
      <c r="K10" s="60"/>
      <c r="L10" s="60"/>
      <c r="M10" s="60"/>
      <c r="N10" s="60"/>
      <c r="O10" s="60"/>
      <c r="P10" s="60"/>
      <c r="Q10" s="60"/>
    </row>
    <row r="11" spans="2:18" ht="20" customHeight="1" x14ac:dyDescent="0.2">
      <c r="C11" s="8"/>
      <c r="D11" s="8"/>
      <c r="H11" s="65">
        <f>Table4[[#Totals],[2023]]-Table4[[#Totals],[2022]]</f>
        <v>1131276361</v>
      </c>
      <c r="I11" s="66">
        <f>H11/(H10*100)</f>
        <v>481394196.17021275</v>
      </c>
      <c r="J11" s="60"/>
      <c r="K11" s="60"/>
      <c r="L11" s="60"/>
      <c r="M11" s="60"/>
      <c r="N11" s="60"/>
      <c r="O11" s="60"/>
      <c r="P11" s="60"/>
      <c r="Q11" s="60"/>
    </row>
    <row r="12" spans="2:18" ht="20" customHeight="1" x14ac:dyDescent="0.2">
      <c r="C12" s="8"/>
      <c r="D12" s="8"/>
      <c r="H12" s="59"/>
      <c r="I12" s="60"/>
      <c r="J12" s="60"/>
      <c r="K12" s="60"/>
      <c r="L12" s="60"/>
      <c r="M12" s="60"/>
      <c r="N12" s="60"/>
      <c r="O12" s="60"/>
      <c r="P12" s="60"/>
      <c r="Q12" s="60"/>
    </row>
    <row r="13" spans="2:18" ht="20" customHeight="1" x14ac:dyDescent="0.2">
      <c r="C13" s="8"/>
      <c r="D13" s="8"/>
    </row>
    <row r="14" spans="2:18" ht="20" customHeight="1" x14ac:dyDescent="0.2">
      <c r="G14" s="67" t="s">
        <v>79</v>
      </c>
      <c r="H14" s="68" t="s">
        <v>72</v>
      </c>
    </row>
    <row r="19" spans="6:7" x14ac:dyDescent="0.2">
      <c r="F19" s="1" t="s">
        <v>82</v>
      </c>
      <c r="G19" s="47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R8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Summary</vt:lpstr>
      <vt:lpstr>TE Office (y)</vt:lpstr>
      <vt:lpstr>TE All % (y)</vt:lpstr>
      <vt:lpstr>TE Office (m)</vt:lpstr>
      <vt:lpstr>TE All % (m)</vt:lpstr>
      <vt:lpstr>In-Out 2023 - old</vt:lpstr>
      <vt:lpstr>Ampera</vt:lpstr>
      <vt:lpstr>SH</vt:lpstr>
      <vt:lpstr>Dago</vt:lpstr>
      <vt:lpstr>Listrik</vt:lpstr>
      <vt:lpstr>IT</vt:lpstr>
      <vt:lpstr>Parkir</vt:lpstr>
      <vt:lpstr>Summary!Print_Area</vt:lpstr>
      <vt:lpstr>'TE All % (m)'!Print_Area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2023-10-03T04:32:06Z</cp:lastPrinted>
  <dcterms:created xsi:type="dcterms:W3CDTF">2022-09-06T10:21:49Z</dcterms:created>
  <dcterms:modified xsi:type="dcterms:W3CDTF">2023-10-06T06:31:18Z</dcterms:modified>
</cp:coreProperties>
</file>