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30" documentId="8_{63EB4802-57AD-0F44-B5C6-2C4816D8263D}" xr6:coauthVersionLast="47" xr6:coauthVersionMax="47" xr10:uidLastSave="{CDB65FD6-D466-2D4F-AAEC-FD5A17634B38}"/>
  <bookViews>
    <workbookView xWindow="-98" yWindow="-98" windowWidth="27196" windowHeight="15781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L8" i="4"/>
  <c r="I32" i="1" s="1"/>
  <c r="H15" i="1" l="1" a="1"/>
  <c r="H15" i="1" s="1"/>
  <c r="H17" i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M30" i="1" a="1"/>
  <c r="M30" i="1" s="1"/>
  <c r="G4" i="9"/>
  <c r="H4" i="9" l="1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<sst xmlns="http://schemas.openxmlformats.org/spreadsheetml/2006/main" count="395" uniqueCount="116">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</sst>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336640740038.32971</c:v>
                </c:pt>
                <c:pt idx="2">
                  <c:v>365426994246.37555</c:v>
                </c:pt>
                <c:pt idx="3">
                  <c:v>367916186635.75452</c:v>
                </c:pt>
                <c:pt idx="4">
                  <c:v>369979099897.1767</c:v>
                </c:pt>
                <c:pt idx="5">
                  <c:v>384729916688.68335</c:v>
                </c:pt>
                <c:pt idx="6">
                  <c:v>386061898720.21381</c:v>
                </c:pt>
                <c:pt idx="7">
                  <c:v>387161898720.21381</c:v>
                </c:pt>
                <c:pt idx="8">
                  <c:v>389449899869.86951</c:v>
                </c:pt>
                <c:pt idx="9">
                  <c:v>390445900253.08801</c:v>
                </c:pt>
                <c:pt idx="10">
                  <c:v>391045900253.08801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351711226172.40295</c:v>
                </c:pt>
                <c:pt idx="3">
                  <c:v>353874078849.29706</c:v>
                </c:pt>
                <c:pt idx="4">
                  <c:v>354586605070.71924</c:v>
                </c:pt>
                <c:pt idx="5">
                  <c:v>355197109484.77118</c:v>
                </c:pt>
                <c:pt idx="6">
                  <c:v>356509748997.8938</c:v>
                </c:pt>
                <c:pt idx="7">
                  <c:v>357609748997.8938</c:v>
                </c:pt>
                <c:pt idx="8">
                  <c:v>359702455547.54944</c:v>
                </c:pt>
                <c:pt idx="9">
                  <c:v>360633357730.76801</c:v>
                </c:pt>
                <c:pt idx="10">
                  <c:v>361233357730.76801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0.80648025591983208</c:v>
                </c:pt>
                <c:pt idx="1">
                  <c:v>0.84120680711747198</c:v>
                </c:pt>
                <c:pt idx="2">
                  <c:v>0.89843040357971071</c:v>
                </c:pt>
                <c:pt idx="3">
                  <c:v>0.89738483468714991</c:v>
                </c:pt>
                <c:pt idx="4">
                  <c:v>0.8972393564774811</c:v>
                </c:pt>
                <c:pt idx="5">
                  <c:v>0.92224700995380737</c:v>
                </c:pt>
                <c:pt idx="6">
                  <c:v>0.91996934231066485</c:v>
                </c:pt>
                <c:pt idx="7">
                  <c:v>0.91996934231066485</c:v>
                </c:pt>
                <c:pt idx="8">
                  <c:v>0.91996934231066485</c:v>
                </c:pt>
                <c:pt idx="9">
                  <c:v>0.91996934231066485</c:v>
                </c:pt>
                <c:pt idx="10">
                  <c:v>0.91996934231066485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Old'!$C$9:$M$9</c:f>
              <c:numCache>
                <c:formatCode>0.00%</c:formatCode>
                <c:ptCount val="11"/>
                <c:pt idx="0">
                  <c:v>0.80649672049133092</c:v>
                </c:pt>
                <c:pt idx="1">
                  <c:v>0.84029007349689022</c:v>
                </c:pt>
                <c:pt idx="2">
                  <c:v>0.90223684786453839</c:v>
                </c:pt>
                <c:pt idx="3">
                  <c:v>0.90450764156566521</c:v>
                </c:pt>
                <c:pt idx="4">
                  <c:v>0.90454880299441243</c:v>
                </c:pt>
                <c:pt idx="5">
                  <c:v>0.92955645647073892</c:v>
                </c:pt>
                <c:pt idx="6">
                  <c:v>0.92727878882759629</c:v>
                </c:pt>
                <c:pt idx="7">
                  <c:v>0.92727878882759629</c:v>
                </c:pt>
                <c:pt idx="8">
                  <c:v>0.92727878882759629</c:v>
                </c:pt>
                <c:pt idx="9">
                  <c:v>0.92727878882759629</c:v>
                </c:pt>
                <c:pt idx="10">
                  <c:v>0.92727878882759629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257804972710.43256</c:v>
                </c:pt>
                <c:pt idx="2">
                  <c:v>276093494683.60236</c:v>
                </c:pt>
                <c:pt idx="3">
                  <c:v>275715769259.30579</c:v>
                </c:pt>
                <c:pt idx="4">
                  <c:v>274887907459.30579</c:v>
                </c:pt>
                <c:pt idx="5">
                  <c:v>284311090876.41614</c:v>
                </c:pt>
                <c:pt idx="6">
                  <c:v>283882581368.04254</c:v>
                </c:pt>
                <c:pt idx="7">
                  <c:v>283882581368.04254</c:v>
                </c:pt>
                <c:pt idx="8">
                  <c:v>285070582517.69824</c:v>
                </c:pt>
                <c:pt idx="9">
                  <c:v>285466582900.91675</c:v>
                </c:pt>
                <c:pt idx="10">
                  <c:v>285466582900.91675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85" zoomScaleNormal="85" workbookViewId="0">
      <selection activeCell="D13" sqref="D13"/>
    </sheetView>
  </sheetViews>
  <sheetFormatPr defaultColWidth="11" defaultRowHeight="15.75" x14ac:dyDescent="0.5"/>
  <cols>
    <col min="1" max="1" width="11" style="1"/>
    <col min="2" max="2" width="13.3125" style="1" customWidth="1"/>
    <col min="3" max="12" width="17.8125" style="8" customWidth="1"/>
    <col min="13" max="13" width="17.8125" style="1" customWidth="1"/>
    <col min="14" max="16384" width="11" style="1"/>
  </cols>
  <sheetData>
    <row r="2" spans="2:14" x14ac:dyDescent="0.5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5">
      <c r="B3" s="2" t="s">
        <v>111</v>
      </c>
      <c r="C3" s="20">
        <f>'TE Office'!C9</f>
        <v>0.80648025591983208</v>
      </c>
      <c r="D3" s="20">
        <f>'TE Office'!D9</f>
        <v>0.84120680711747198</v>
      </c>
      <c r="E3" s="20">
        <f>'TE Office'!E9</f>
        <v>0.89843040357971071</v>
      </c>
      <c r="F3" s="20">
        <f>'TE Office'!F9</f>
        <v>0.89738483468714991</v>
      </c>
      <c r="G3" s="20">
        <f>'TE Office'!G9</f>
        <v>0.8972393564774811</v>
      </c>
      <c r="H3" s="20">
        <f>'TE Office'!H9</f>
        <v>0.92224700995380737</v>
      </c>
      <c r="I3" s="20">
        <f>'TE Office'!I9</f>
        <v>0.91996934231066485</v>
      </c>
      <c r="J3" s="20">
        <f>'TE Office'!J9</f>
        <v>0.91996934231066485</v>
      </c>
      <c r="K3" s="20">
        <f>'TE Office'!K9</f>
        <v>0.91996934231066485</v>
      </c>
      <c r="L3" s="20">
        <f>'TE Office'!L9</f>
        <v>0.91996934231066485</v>
      </c>
      <c r="M3" s="20">
        <f>'TE Office'!M9</f>
        <v>0.91996934231066485</v>
      </c>
    </row>
    <row r="4" spans="2:14" s="2" customFormat="1" x14ac:dyDescent="0.5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5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5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5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5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5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5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5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55000000000000004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5">
      <c r="B13" s="11" t="s">
        <v>7</v>
      </c>
      <c r="C13" s="8">
        <f>'TE Office'!C7</f>
        <v>248951980320.72696</v>
      </c>
      <c r="D13" s="8">
        <f>'TE Office'!D7</f>
        <v>257804972710.43256</v>
      </c>
      <c r="E13" s="8">
        <f>'TE Office'!E7</f>
        <v>276093494683.60236</v>
      </c>
      <c r="F13" s="8">
        <f>'TE Office'!F7</f>
        <v>275715769259.30579</v>
      </c>
      <c r="G13" s="8">
        <f>'TE Office'!G7</f>
        <v>274887907459.30579</v>
      </c>
      <c r="H13" s="8">
        <f>'TE Office'!H7</f>
        <v>284311090876.41614</v>
      </c>
      <c r="I13" s="8">
        <f>'TE Office'!I7</f>
        <v>283882581368.04254</v>
      </c>
      <c r="J13" s="8">
        <f>'TE Office'!J7</f>
        <v>283882581368.04254</v>
      </c>
      <c r="K13" s="8">
        <f>'TE Office'!K7</f>
        <v>285070582517.69824</v>
      </c>
      <c r="L13" s="8">
        <f>'TE Office'!L7</f>
        <v>285466582900.91675</v>
      </c>
      <c r="M13" s="8">
        <f>'TE Office'!M7</f>
        <v>285466582900.91675</v>
      </c>
      <c r="N13" s="22"/>
    </row>
    <row r="14" spans="2:14" ht="20" customHeight="1" x14ac:dyDescent="0.5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5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23904439677.418869</v>
      </c>
      <c r="F15" s="8" cm="1">
        <f t="array" ref="F15">Table36[2025]</f>
        <v>23791068238.785496</v>
      </c>
      <c r="G15" s="8" cm="1">
        <f t="array" ref="G15">Table36[2026]</f>
        <v>23775293980.35326</v>
      </c>
      <c r="H15" s="8" cm="1">
        <f t="array" ref="H15">Table36[2027]</f>
        <v>26486883500.305592</v>
      </c>
      <c r="I15" s="8" cm="1">
        <f t="array" ref="I15">Table36[2028]</f>
        <v>26239915118.528931</v>
      </c>
      <c r="J15" s="8" cm="1">
        <f t="array" ref="J15">Table36[2029]</f>
        <v>26239915118.528931</v>
      </c>
      <c r="K15" s="8" cm="1">
        <f t="array" ref="K15">Table36[2030]</f>
        <v>26239915118.528931</v>
      </c>
      <c r="L15" s="8" cm="1">
        <f t="array" ref="L15">Table36[2031]</f>
        <v>26239915118.528931</v>
      </c>
      <c r="M15" s="8" cm="1">
        <f t="array" ref="M15">Table36[2032]</f>
        <v>26239915118.528931</v>
      </c>
      <c r="N15" s="23"/>
    </row>
    <row r="16" spans="2:14" ht="20" customHeight="1" x14ac:dyDescent="0.5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5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9453762505.8857327</v>
      </c>
      <c r="F17" s="8">
        <f>Table4[[#Totals],[2025]]</f>
        <v>9411281756.9946022</v>
      </c>
      <c r="G17" s="8">
        <f>Table4[[#Totals],[2026]]</f>
        <v>9405371076.8490448</v>
      </c>
      <c r="H17" s="8">
        <f>Table4[[#Totals],[2027]]</f>
        <v>10421414931.293049</v>
      </c>
      <c r="I17" s="8">
        <f>Table4[[#Totals],[2028]]</f>
        <v>10328874852.973759</v>
      </c>
      <c r="J17" s="8">
        <f>Table4[[#Totals],[2029]]</f>
        <v>10328874852.973759</v>
      </c>
      <c r="K17" s="8">
        <f>Table4[[#Totals],[2030]]</f>
        <v>10328874852.973759</v>
      </c>
      <c r="L17" s="8">
        <f>Table4[[#Totals],[2031]]</f>
        <v>10328874852.973759</v>
      </c>
      <c r="M17" s="8">
        <f>Table4[[#Totals],[2032]]</f>
        <v>10328874852.973759</v>
      </c>
      <c r="N17" s="23"/>
    </row>
    <row r="18" spans="2:14" ht="20" customHeight="1" x14ac:dyDescent="0.5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5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5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5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5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55000000000000004">
      <c r="B23" s="1" t="s">
        <v>20</v>
      </c>
      <c r="C23" s="9">
        <f>SUBTOTAL(109,Table2[2022])</f>
        <v>320000736080.66931</v>
      </c>
      <c r="D23" s="9">
        <f>SUBTOTAL(109,Table2[2023])</f>
        <v>336640740038.32971</v>
      </c>
      <c r="E23" s="9">
        <f>SUBTOTAL(109,Table2[2024])</f>
        <v>365426994246.37555</v>
      </c>
      <c r="F23" s="9">
        <f>SUBTOTAL(109,Table2[2025])</f>
        <v>367916186635.75452</v>
      </c>
      <c r="G23" s="9">
        <f>SUBTOTAL(109,Table2[2026])</f>
        <v>369979099897.1767</v>
      </c>
      <c r="H23" s="9">
        <f>SUBTOTAL(109,Table2[2027])</f>
        <v>384729916688.68335</v>
      </c>
      <c r="I23" s="9">
        <f>SUBTOTAL(109,Table2[2028])</f>
        <v>386061898720.21381</v>
      </c>
      <c r="J23" s="9">
        <f>SUBTOTAL(109,Table2[2029])</f>
        <v>387161898720.21381</v>
      </c>
      <c r="K23" s="9">
        <f>SUBTOTAL(109,Table2[2030])</f>
        <v>389449899869.86951</v>
      </c>
      <c r="L23" s="9">
        <f>SUBTOTAL(109,Table2[2031])</f>
        <v>390445900253.08801</v>
      </c>
      <c r="M23" s="9">
        <f>SUBTOTAL(109,Table2[2032])</f>
        <v>391045900253.08801</v>
      </c>
      <c r="N23" s="24"/>
    </row>
    <row r="24" spans="2:14" ht="20" customHeight="1" x14ac:dyDescent="0.5">
      <c r="D24" s="8">
        <f>Table2[[#Totals],[2023]]/14750</f>
        <v>22823101.019547775</v>
      </c>
      <c r="E24" s="8">
        <f>Table2[[#Totals],[2024]]/14750</f>
        <v>24774711.474330544</v>
      </c>
      <c r="F24" s="8">
        <f>Table2[[#Totals],[2025]]/14750</f>
        <v>24943470.280390136</v>
      </c>
      <c r="G24" s="8">
        <f>Table2[[#Totals],[2026]]/14750</f>
        <v>25083328.806588251</v>
      </c>
      <c r="H24" s="8">
        <f>Table2[[#Totals],[2027]]/14750</f>
        <v>26083384.182283618</v>
      </c>
      <c r="I24" s="8">
        <f>Table2[[#Totals],[2028]]/14750</f>
        <v>26173688.048828054</v>
      </c>
      <c r="J24" s="8">
        <f>Table2[[#Totals],[2029]]/14750</f>
        <v>26248264.320014495</v>
      </c>
      <c r="K24" s="8">
        <f>Table2[[#Totals],[2030]]/14750</f>
        <v>26403383.042025052</v>
      </c>
      <c r="L24" s="8">
        <f>Table2[[#Totals],[2031]]/14750</f>
        <v>26470908.49173478</v>
      </c>
      <c r="M24" s="8">
        <f>Table2[[#Totals],[2032]]/14750</f>
        <v>26511586.457836475</v>
      </c>
    </row>
    <row r="25" spans="2:14" ht="20" customHeight="1" x14ac:dyDescent="0.5"/>
    <row r="26" spans="2:14" s="6" customFormat="1" ht="20" customHeight="1" x14ac:dyDescent="0.5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55000000000000004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5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5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5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23904439677.418869</v>
      </c>
      <c r="F30" s="8" cm="1">
        <f t="array" ref="F30">Table36[2025]</f>
        <v>23791068238.785496</v>
      </c>
      <c r="G30" s="8" cm="1">
        <f t="array" ref="G30">Table36[2026]</f>
        <v>23775293980.35326</v>
      </c>
      <c r="H30" s="8" cm="1">
        <f t="array" ref="H30">Table36[2027]</f>
        <v>26486883500.305592</v>
      </c>
      <c r="I30" s="8" cm="1">
        <f t="array" ref="I30">Table36[2028]</f>
        <v>26239915118.528931</v>
      </c>
      <c r="J30" s="8" cm="1">
        <f t="array" ref="J30">Table36[2029]</f>
        <v>26239915118.528931</v>
      </c>
      <c r="K30" s="8" cm="1">
        <f t="array" ref="K30">Table36[2030]</f>
        <v>26239915118.528931</v>
      </c>
      <c r="L30" s="8" cm="1">
        <f t="array" ref="L30">Table36[2031]</f>
        <v>26239915118.528931</v>
      </c>
      <c r="M30" s="8" cm="1">
        <f t="array" ref="M30">Table36[2032]</f>
        <v>26239915118.528931</v>
      </c>
      <c r="N30" s="23"/>
    </row>
    <row r="31" spans="2:14" ht="20" customHeight="1" x14ac:dyDescent="0.5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5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9453762505.8857327</v>
      </c>
      <c r="F32" s="8">
        <f>Table4[[#Totals],[2025]]</f>
        <v>9411281756.9946022</v>
      </c>
      <c r="G32" s="8">
        <f>Table4[[#Totals],[2026]]</f>
        <v>9405371076.8490448</v>
      </c>
      <c r="H32" s="8">
        <f>Table4[[#Totals],[2027]]</f>
        <v>10421414931.293049</v>
      </c>
      <c r="I32" s="8">
        <f>Table4[[#Totals],[2028]]</f>
        <v>10328874852.973759</v>
      </c>
      <c r="J32" s="8">
        <f>Table4[[#Totals],[2029]]</f>
        <v>10328874852.973759</v>
      </c>
      <c r="K32" s="8">
        <f>Table4[[#Totals],[2030]]</f>
        <v>10328874852.973759</v>
      </c>
      <c r="L32" s="8">
        <f>Table4[[#Totals],[2031]]</f>
        <v>10328874852.973759</v>
      </c>
      <c r="M32" s="8">
        <f>Table4[[#Totals],[2032]]</f>
        <v>10328874852.973759</v>
      </c>
      <c r="N32" s="23"/>
    </row>
    <row r="33" spans="2:14" ht="20" customHeight="1" x14ac:dyDescent="0.5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5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5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5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5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55000000000000004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351711226172.40295</v>
      </c>
      <c r="F38" s="9">
        <f>SUBTOTAL(109,Table211[2025])</f>
        <v>353874078849.29706</v>
      </c>
      <c r="G38" s="9">
        <f>SUBTOTAL(109,Table211[2026])</f>
        <v>354586605070.71924</v>
      </c>
      <c r="H38" s="9">
        <f>SUBTOTAL(109,Table211[2027])</f>
        <v>355197109484.77118</v>
      </c>
      <c r="I38" s="9">
        <f>SUBTOTAL(109,Table211[2028])</f>
        <v>356509748997.8938</v>
      </c>
      <c r="J38" s="9">
        <f>SUBTOTAL(109,Table211[2029])</f>
        <v>357609748997.8938</v>
      </c>
      <c r="K38" s="9">
        <f>SUBTOTAL(109,Table211[2030])</f>
        <v>359702455547.54944</v>
      </c>
      <c r="L38" s="9">
        <f>SUBTOTAL(109,Table211[2031])</f>
        <v>360633357730.76801</v>
      </c>
      <c r="M38" s="9">
        <f>SUBTOTAL(109,Table211[2032])</f>
        <v>361233357730.76801</v>
      </c>
      <c r="N38" s="24"/>
    </row>
    <row r="39" spans="2:14" x14ac:dyDescent="0.5">
      <c r="D39" s="8">
        <f>Table211[[#Totals],[2023]]/14750</f>
        <v>22031247.055593882</v>
      </c>
      <c r="E39" s="8">
        <f>Table211[[#Totals],[2024]]/14750</f>
        <v>23844828.893044267</v>
      </c>
      <c r="F39" s="8">
        <f>Table211[[#Totals],[2025]]/14750</f>
        <v>23991462.9728337</v>
      </c>
      <c r="G39" s="8">
        <f>Table211[[#Totals],[2026]]/14750</f>
        <v>24039769.835302997</v>
      </c>
      <c r="H39" s="8">
        <f>Table211[[#Totals],[2027]]/14750</f>
        <v>24081159.965069231</v>
      </c>
      <c r="I39" s="8">
        <f>Table211[[#Totals],[2028]]/14750</f>
        <v>24170152.474433478</v>
      </c>
      <c r="J39" s="8">
        <f>Table211[[#Totals],[2029]]/14750</f>
        <v>24244728.745619919</v>
      </c>
      <c r="K39" s="8">
        <f>Table211[[#Totals],[2030]]/14750</f>
        <v>24386607.155766062</v>
      </c>
      <c r="L39" s="8">
        <f>Table211[[#Totals],[2031]]/14750</f>
        <v>24449719.168187663</v>
      </c>
      <c r="M39" s="8">
        <f>Table211[[#Totals],[2032]]/14750</f>
        <v>24490397.134289358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tabSelected="1" zoomScale="85" zoomScaleNormal="85" workbookViewId="0">
      <selection activeCell="D7" sqref="D7"/>
    </sheetView>
  </sheetViews>
  <sheetFormatPr defaultColWidth="10.8125" defaultRowHeight="15.75" x14ac:dyDescent="0.5"/>
  <cols>
    <col min="1" max="1" width="10.8125" style="1"/>
    <col min="2" max="2" width="10.8125" style="29"/>
    <col min="3" max="13" width="15.1875" style="1" customWidth="1"/>
    <col min="14" max="16384" width="10.8125" style="1"/>
  </cols>
  <sheetData>
    <row r="3" spans="2:14" s="6" customFormat="1" ht="21" customHeight="1" x14ac:dyDescent="0.5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55000000000000004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5">
      <c r="B5" s="29" t="s">
        <v>65</v>
      </c>
      <c r="C5" s="32">
        <v>205647908168.79742</v>
      </c>
      <c r="D5" s="33">
        <v>212187707929.90952</v>
      </c>
      <c r="E5" s="33">
        <v>226103861604.88779</v>
      </c>
      <c r="F5" s="33">
        <v>225403253434.88779</v>
      </c>
      <c r="G5" s="33">
        <v>224583343884.88779</v>
      </c>
      <c r="H5" s="33">
        <v>231445041964.88779</v>
      </c>
      <c r="I5" s="33">
        <v>230750631009.84375</v>
      </c>
      <c r="J5" s="33">
        <v>230750631009.84375</v>
      </c>
      <c r="K5" s="33">
        <v>230750631009.84375</v>
      </c>
      <c r="L5" s="33">
        <v>230750631009.84375</v>
      </c>
      <c r="M5" s="33">
        <v>230750631009.84375</v>
      </c>
      <c r="N5" s="38"/>
    </row>
    <row r="6" spans="2:14" ht="21" customHeight="1" x14ac:dyDescent="0.5">
      <c r="B6" s="29" t="s">
        <v>66</v>
      </c>
      <c r="C6" s="32">
        <v>43304072151.929543</v>
      </c>
      <c r="D6" s="33">
        <v>45617264780.523056</v>
      </c>
      <c r="E6" s="33">
        <v>49989633078.714592</v>
      </c>
      <c r="F6" s="33">
        <v>50312515824.41803</v>
      </c>
      <c r="G6" s="33">
        <v>50304563574.41803</v>
      </c>
      <c r="H6" s="33">
        <v>52866048911.528358</v>
      </c>
      <c r="I6" s="33">
        <v>53131950358.198814</v>
      </c>
      <c r="J6" s="33">
        <v>53131950358.198814</v>
      </c>
      <c r="K6" s="33">
        <v>54319951507.854462</v>
      </c>
      <c r="L6" s="33">
        <v>54715951891.073013</v>
      </c>
      <c r="M6" s="33">
        <v>54715951891.073013</v>
      </c>
      <c r="N6" s="39"/>
    </row>
    <row r="7" spans="2:14" s="30" customFormat="1" ht="21" customHeight="1" x14ac:dyDescent="0.5">
      <c r="B7" s="29" t="s">
        <v>20</v>
      </c>
      <c r="C7" s="34">
        <v>248951980320.72696</v>
      </c>
      <c r="D7" s="35">
        <v>257804972710.43256</v>
      </c>
      <c r="E7" s="35">
        <v>276093494683.60236</v>
      </c>
      <c r="F7" s="35">
        <v>275715769259.30579</v>
      </c>
      <c r="G7" s="35">
        <v>274887907459.30579</v>
      </c>
      <c r="H7" s="35">
        <v>284311090876.41614</v>
      </c>
      <c r="I7" s="35">
        <v>283882581368.04254</v>
      </c>
      <c r="J7" s="35">
        <v>283882581368.04254</v>
      </c>
      <c r="K7" s="35">
        <v>285070582517.69824</v>
      </c>
      <c r="L7" s="35">
        <v>285466582900.91675</v>
      </c>
      <c r="M7" s="35">
        <v>285466582900.91675</v>
      </c>
      <c r="N7" s="40"/>
    </row>
    <row r="8" spans="2:14" ht="21" customHeight="1" x14ac:dyDescent="0.5">
      <c r="B8" s="29" t="s">
        <v>67</v>
      </c>
      <c r="C8" s="32">
        <v>48982.76617610659</v>
      </c>
      <c r="D8" s="33">
        <v>51091.934410456619</v>
      </c>
      <c r="E8" s="33">
        <v>54567.49382395867</v>
      </c>
      <c r="F8" s="33">
        <v>54503.989657291997</v>
      </c>
      <c r="G8" s="33">
        <v>54495.153823958673</v>
      </c>
      <c r="H8" s="33">
        <v>56014.03049062533</v>
      </c>
      <c r="I8" s="33">
        <v>55875.692991632641</v>
      </c>
      <c r="J8" s="33">
        <v>55875.692991632641</v>
      </c>
      <c r="K8" s="33">
        <v>55875.692991632641</v>
      </c>
      <c r="L8" s="33">
        <v>55875.692991632641</v>
      </c>
      <c r="M8" s="33">
        <v>55875.692991632641</v>
      </c>
      <c r="N8" s="39"/>
    </row>
    <row r="9" spans="2:14" ht="21" customHeight="1" thickBot="1" x14ac:dyDescent="0.55000000000000004">
      <c r="B9" s="29" t="s">
        <v>68</v>
      </c>
      <c r="C9" s="36">
        <v>0.80648025591983208</v>
      </c>
      <c r="D9" s="37">
        <v>0.84120680711747198</v>
      </c>
      <c r="E9" s="37">
        <v>0.89843040357971071</v>
      </c>
      <c r="F9" s="37">
        <v>0.89738483468714991</v>
      </c>
      <c r="G9" s="37">
        <v>0.8972393564774811</v>
      </c>
      <c r="H9" s="37">
        <v>0.92224700995380737</v>
      </c>
      <c r="I9" s="37">
        <v>0.91996934231066485</v>
      </c>
      <c r="J9" s="37">
        <v>0.91996934231066485</v>
      </c>
      <c r="K9" s="37">
        <v>0.91996934231066485</v>
      </c>
      <c r="L9" s="37">
        <v>0.91996934231066485</v>
      </c>
      <c r="M9" s="37">
        <v>0.91996934231066485</v>
      </c>
      <c r="N9" s="41"/>
    </row>
    <row r="10" spans="2:14" ht="21" customHeight="1" x14ac:dyDescent="0.5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5"/>
    <row r="12" spans="2:14" s="6" customFormat="1" ht="21" customHeight="1" x14ac:dyDescent="0.5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55000000000000004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5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5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5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5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55000000000000004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41"/>
  <sheetViews>
    <sheetView showGridLines="0" zoomScaleNormal="100" workbookViewId="0">
      <selection activeCell="L52" sqref="L52"/>
    </sheetView>
  </sheetViews>
  <sheetFormatPr defaultColWidth="10.8125" defaultRowHeight="15.75" x14ac:dyDescent="0.5"/>
  <cols>
    <col min="1" max="1" width="10.8125" style="1"/>
    <col min="2" max="2" width="10.8125" style="29"/>
    <col min="3" max="13" width="17.8125" style="1" customWidth="1"/>
    <col min="14" max="16384" width="10.8125" style="1"/>
  </cols>
  <sheetData>
    <row r="3" spans="2:14" ht="21" customHeight="1" x14ac:dyDescent="0.5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55000000000000004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5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5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5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5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55000000000000004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5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55000000000000004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5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5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5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5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55000000000000004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5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55000000000000004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5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5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5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5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55000000000000004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5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5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5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5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5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5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defaultColWidth="11" defaultRowHeight="15.75" x14ac:dyDescent="0.5"/>
  <cols>
    <col min="2" max="2" width="3.8125" customWidth="1"/>
    <col min="3" max="14" width="27.6875" customWidth="1"/>
  </cols>
  <sheetData>
    <row r="5" spans="3:14" ht="18" x14ac:dyDescent="0.55000000000000004">
      <c r="C5" s="88"/>
    </row>
    <row r="7" spans="3:14" s="84" customFormat="1" x14ac:dyDescent="0.5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5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5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5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5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5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5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5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5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5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5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5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5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5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5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5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5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5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5">
      <c r="C27" s="83"/>
    </row>
    <row r="29" spans="3:14" s="84" customFormat="1" x14ac:dyDescent="0.5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5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5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5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5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5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5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5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5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5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5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5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5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5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5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5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5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5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defaultColWidth="8.8125" defaultRowHeight="15.75" x14ac:dyDescent="0.5"/>
  <cols>
    <col min="1" max="1" width="8.8125" style="1"/>
    <col min="2" max="2" width="19.3125" style="1" bestFit="1" customWidth="1"/>
    <col min="3" max="16" width="15.5" style="1" customWidth="1"/>
    <col min="17" max="16384" width="8.8125" style="1"/>
  </cols>
  <sheetData>
    <row r="2" spans="2:17" x14ac:dyDescent="0.5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55000000000000004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5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55000000000000004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5">
      <c r="B7" s="53" t="s">
        <v>115</v>
      </c>
    </row>
    <row r="8" spans="2:17" x14ac:dyDescent="0.5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5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5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5">
      <c r="B11" s="47">
        <v>2022</v>
      </c>
    </row>
    <row r="12" spans="2:17" x14ac:dyDescent="0.5">
      <c r="B12" s="42" t="s">
        <v>77</v>
      </c>
      <c r="C12" s="8">
        <f>(751445363.1+615215363.1)/2</f>
        <v>683330363.10000002</v>
      </c>
    </row>
    <row r="13" spans="2:17" x14ac:dyDescent="0.5">
      <c r="B13" s="42" t="s">
        <v>62</v>
      </c>
      <c r="C13" s="8">
        <f>C12*12</f>
        <v>8199964357.2000008</v>
      </c>
    </row>
    <row r="15" spans="2:17" x14ac:dyDescent="0.5">
      <c r="B15" s="53" t="s">
        <v>61</v>
      </c>
    </row>
    <row r="16" spans="2:17" x14ac:dyDescent="0.5">
      <c r="B16" s="42" t="s">
        <v>78</v>
      </c>
      <c r="C16" s="8">
        <f>751445363.1</f>
        <v>751445363.10000002</v>
      </c>
    </row>
    <row r="17" spans="2:3" x14ac:dyDescent="0.5">
      <c r="B17" s="42" t="s">
        <v>60</v>
      </c>
      <c r="C17" s="9">
        <f>C16*12</f>
        <v>9017344357.2000008</v>
      </c>
    </row>
    <row r="28" spans="2:3" ht="15" customHeight="1" x14ac:dyDescent="0.5"/>
    <row r="29" spans="2:3" ht="15" customHeight="1" x14ac:dyDescent="0.5"/>
    <row r="30" spans="2:3" ht="20.25" customHeight="1" x14ac:dyDescent="0.5"/>
    <row r="31" spans="2:3" ht="20.25" customHeight="1" x14ac:dyDescent="0.5"/>
    <row r="32" spans="2:3" ht="20.25" customHeight="1" x14ac:dyDescent="0.5"/>
    <row r="33" ht="20.25" customHeight="1" x14ac:dyDescent="0.5"/>
    <row r="34" ht="20.25" customHeight="1" x14ac:dyDescent="0.5"/>
    <row r="35" ht="20.25" customHeight="1" x14ac:dyDescent="0.5"/>
    <row r="38" ht="15" customHeight="1" x14ac:dyDescent="0.5"/>
    <row r="39" ht="15" customHeight="1" x14ac:dyDescent="0.5"/>
    <row r="40" ht="20.25" customHeight="1" x14ac:dyDescent="0.5"/>
    <row r="41" ht="20.25" customHeight="1" x14ac:dyDescent="0.5"/>
    <row r="42" ht="20.25" customHeight="1" x14ac:dyDescent="0.5"/>
    <row r="43" ht="20.25" customHeight="1" x14ac:dyDescent="0.5"/>
    <row r="44" ht="20.25" customHeight="1" x14ac:dyDescent="0.5"/>
    <row r="45" ht="20.25" customHeight="1" x14ac:dyDescent="0.5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defaultColWidth="8.8125" defaultRowHeight="15.75" x14ac:dyDescent="0.5"/>
  <cols>
    <col min="1" max="1" width="8.8125" style="1"/>
    <col min="2" max="2" width="19.3125" style="1" bestFit="1" customWidth="1"/>
    <col min="3" max="16" width="15.5" style="1" customWidth="1"/>
    <col min="17" max="16384" width="8.8125" style="1"/>
  </cols>
  <sheetData>
    <row r="2" spans="2:17" x14ac:dyDescent="0.5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55000000000000004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5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55000000000000004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55000000000000004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5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55000000000000004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5"/>
    <row r="18" ht="15" customHeight="1" x14ac:dyDescent="0.5"/>
    <row r="19" ht="20.25" customHeight="1" x14ac:dyDescent="0.5"/>
    <row r="20" ht="20.25" customHeight="1" x14ac:dyDescent="0.5"/>
    <row r="21" ht="20.25" customHeight="1" x14ac:dyDescent="0.5"/>
    <row r="22" ht="20.25" customHeight="1" x14ac:dyDescent="0.5"/>
    <row r="23" ht="20.25" customHeight="1" x14ac:dyDescent="0.5"/>
    <row r="24" ht="20.25" customHeight="1" x14ac:dyDescent="0.5"/>
    <row r="27" ht="15" customHeight="1" x14ac:dyDescent="0.5"/>
    <row r="28" ht="15" customHeight="1" x14ac:dyDescent="0.5"/>
    <row r="29" ht="20.25" customHeight="1" x14ac:dyDescent="0.5"/>
    <row r="30" ht="20.25" customHeight="1" x14ac:dyDescent="0.5"/>
    <row r="31" ht="20.25" customHeight="1" x14ac:dyDescent="0.5"/>
    <row r="32" ht="20.25" customHeight="1" x14ac:dyDescent="0.5"/>
    <row r="33" ht="20.25" customHeight="1" x14ac:dyDescent="0.5"/>
    <row r="34" ht="20.25" customHeight="1" x14ac:dyDescent="0.5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defaultColWidth="8.8125" defaultRowHeight="15.75" x14ac:dyDescent="0.5"/>
  <cols>
    <col min="1" max="1" width="8.8125" style="1"/>
    <col min="2" max="2" width="19.3125" style="1" bestFit="1" customWidth="1"/>
    <col min="3" max="16" width="15.5" style="1" customWidth="1"/>
    <col min="17" max="16384" width="8.8125" style="1"/>
  </cols>
  <sheetData>
    <row r="2" spans="2:17" x14ac:dyDescent="0.5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55000000000000004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5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55000000000000004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5"/>
    <row r="19" ht="15" customHeight="1" x14ac:dyDescent="0.5"/>
    <row r="20" ht="20.25" customHeight="1" x14ac:dyDescent="0.5"/>
    <row r="21" ht="20.25" customHeight="1" x14ac:dyDescent="0.5"/>
    <row r="22" ht="20.25" customHeight="1" x14ac:dyDescent="0.5"/>
    <row r="23" ht="20.25" customHeight="1" x14ac:dyDescent="0.5"/>
    <row r="24" ht="20.25" customHeight="1" x14ac:dyDescent="0.5"/>
    <row r="25" ht="20.25" customHeight="1" x14ac:dyDescent="0.5"/>
    <row r="28" ht="15" customHeight="1" x14ac:dyDescent="0.5"/>
    <row r="29" ht="15" customHeight="1" x14ac:dyDescent="0.5"/>
    <row r="30" ht="20.25" customHeight="1" x14ac:dyDescent="0.5"/>
    <row r="31" ht="20.25" customHeight="1" x14ac:dyDescent="0.5"/>
    <row r="32" ht="20.25" customHeight="1" x14ac:dyDescent="0.5"/>
    <row r="33" ht="20.25" customHeight="1" x14ac:dyDescent="0.5"/>
    <row r="34" ht="20.25" customHeight="1" x14ac:dyDescent="0.5"/>
    <row r="35" ht="20.25" customHeight="1" x14ac:dyDescent="0.5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defaultColWidth="8.8125" defaultRowHeight="15.75" x14ac:dyDescent="0.5"/>
  <cols>
    <col min="1" max="1" width="8.8125" style="1"/>
    <col min="2" max="2" width="19.3125" style="1" bestFit="1" customWidth="1"/>
    <col min="3" max="7" width="15.5" style="1" customWidth="1"/>
    <col min="8" max="8" width="15.8125" style="1" customWidth="1"/>
    <col min="9" max="16" width="15.5" style="1" customWidth="1"/>
    <col min="17" max="23" width="8.8125" style="1"/>
    <col min="24" max="37" width="20.5" style="1" customWidth="1"/>
    <col min="38" max="38" width="18.5" style="1" bestFit="1" customWidth="1"/>
    <col min="39" max="16384" width="8.8125" style="1"/>
  </cols>
  <sheetData>
    <row r="2" spans="2:38" ht="16.149999999999999" thickBot="1" x14ac:dyDescent="0.55000000000000004">
      <c r="E2" s="42" t="s">
        <v>55</v>
      </c>
      <c r="F2" s="43">
        <f>Summary!$C$3</f>
        <v>0.80648025591983208</v>
      </c>
      <c r="G2" s="62">
        <f>Summary!$D$3</f>
        <v>0.84120680711747198</v>
      </c>
      <c r="H2" s="63">
        <f>Summary!$E$3</f>
        <v>0.89843040357971071</v>
      </c>
      <c r="I2" s="63">
        <f>Summary!$F$3</f>
        <v>0.89738483468714991</v>
      </c>
      <c r="J2" s="63">
        <f>Summary!$G$3</f>
        <v>0.8972393564774811</v>
      </c>
      <c r="K2" s="63">
        <f>Summary!$H$3</f>
        <v>0.92224700995380737</v>
      </c>
      <c r="L2" s="63">
        <f>Summary!$I$3</f>
        <v>0.91996934231066485</v>
      </c>
      <c r="M2" s="63">
        <f>Summary!$J$3</f>
        <v>0.91996934231066485</v>
      </c>
      <c r="N2" s="63">
        <f>Summary!$K$3</f>
        <v>0.91996934231066485</v>
      </c>
      <c r="O2" s="63">
        <f>Summary!$L$3</f>
        <v>0.91996934231066485</v>
      </c>
      <c r="P2" s="63">
        <f>Summary!$M$3</f>
        <v>0.91996934231066485</v>
      </c>
    </row>
    <row r="3" spans="2:38" ht="20" customHeight="1" thickBot="1" x14ac:dyDescent="0.55000000000000004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55000000000000004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23904439677.418869</v>
      </c>
      <c r="I4" s="67">
        <f>Table36[[#This Row],[2024]]+(I2-H2)*100*$H$9</f>
        <v>23791068238.785496</v>
      </c>
      <c r="J4" s="67">
        <f>Table36[[#This Row],[2025]]+(J2-I2)*100*$H$9</f>
        <v>23775293980.35326</v>
      </c>
      <c r="K4" s="67">
        <f>Table36[[#This Row],[2026]]+(K2-J2)*100*$H$9</f>
        <v>26486883500.305592</v>
      </c>
      <c r="L4" s="67">
        <f>Table36[[#This Row],[2027]]+(L2-K2)*100*$H$9</f>
        <v>26239915118.528931</v>
      </c>
      <c r="M4" s="67">
        <f>Table36[[#This Row],[2028]]+(M2-L2)*100*$H$9</f>
        <v>26239915118.528931</v>
      </c>
      <c r="N4" s="67">
        <f>Table36[[#This Row],[2029]]+(N2-M2)*100*$H$9</f>
        <v>26239915118.528931</v>
      </c>
      <c r="O4" s="67">
        <f>Table36[[#This Row],[2030]]+(O2-N2)*100*$H$9</f>
        <v>26239915118.528931</v>
      </c>
      <c r="P4" s="67">
        <f>Table36[[#This Row],[2031]]+(P2-O2)*100*$H$9</f>
        <v>26239915118.528931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5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5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5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5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5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6.149999999999999" thickBot="1" x14ac:dyDescent="0.55000000000000004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5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6.149999999999999" thickBot="1" x14ac:dyDescent="0.55000000000000004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5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5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5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5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5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5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5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6.149999999999999" thickBot="1" x14ac:dyDescent="0.55000000000000004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6.149999999999999" thickBot="1" x14ac:dyDescent="0.55000000000000004"/>
    <row r="23" spans="23:38" ht="15" customHeight="1" x14ac:dyDescent="0.5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5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5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5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5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5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5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55000000000000004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5">
      <c r="AL31" s="56"/>
    </row>
    <row r="32" spans="23:38" ht="16.149999999999999" thickBot="1" x14ac:dyDescent="0.55000000000000004">
      <c r="AL32" s="56"/>
    </row>
    <row r="33" spans="24:38" ht="15" customHeight="1" x14ac:dyDescent="0.5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5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5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5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5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5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5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55000000000000004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H12" sqref="H12"/>
    </sheetView>
  </sheetViews>
  <sheetFormatPr defaultColWidth="10.8125" defaultRowHeight="15.75" x14ac:dyDescent="0.5"/>
  <cols>
    <col min="1" max="1" width="10.8125" style="1"/>
    <col min="2" max="2" width="10.8125" style="30"/>
    <col min="3" max="5" width="7.8125" style="1" customWidth="1"/>
    <col min="6" max="16" width="18.1875" style="1" customWidth="1"/>
    <col min="17" max="16384" width="10.8125" style="1"/>
  </cols>
  <sheetData>
    <row r="2" spans="2:17" x14ac:dyDescent="0.5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5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5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5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5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5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5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55000000000000004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55000000000000004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5">
      <c r="K11" s="68"/>
      <c r="L11" s="69"/>
      <c r="M11" s="69"/>
      <c r="N11" s="69"/>
      <c r="O11" s="69"/>
      <c r="P11" s="69"/>
    </row>
    <row r="12" spans="2:17" ht="20" customHeight="1" x14ac:dyDescent="0.5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5"/>
    <row r="14" spans="2:17" ht="20" customHeight="1" x14ac:dyDescent="0.5"/>
    <row r="15" spans="2:17" ht="20" customHeight="1" x14ac:dyDescent="0.5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defaultColWidth="10.8125" defaultRowHeight="15.75" x14ac:dyDescent="0.5"/>
  <cols>
    <col min="1" max="1" width="10.8125" style="1"/>
    <col min="2" max="2" width="32.3125" style="1" bestFit="1" customWidth="1"/>
    <col min="3" max="5" width="7.6875" style="1" customWidth="1"/>
    <col min="6" max="16" width="17.5" style="1" customWidth="1"/>
    <col min="17" max="16384" width="10.8125" style="1"/>
  </cols>
  <sheetData>
    <row r="2" spans="2:17" x14ac:dyDescent="0.5">
      <c r="E2" s="42" t="s">
        <v>55</v>
      </c>
      <c r="F2" s="43">
        <f>Summary!$C$3</f>
        <v>0.80648025591983208</v>
      </c>
      <c r="G2" s="43">
        <f>Summary!$D$3</f>
        <v>0.84120680711747198</v>
      </c>
      <c r="H2" s="62">
        <f>Summary!$E$3</f>
        <v>0.89843040357971071</v>
      </c>
      <c r="I2" s="63">
        <f>Summary!$F$3</f>
        <v>0.89738483468714991</v>
      </c>
      <c r="J2" s="63">
        <f>Summary!$G$3</f>
        <v>0.8972393564774811</v>
      </c>
      <c r="K2" s="63">
        <f>Summary!$H$3</f>
        <v>0.92224700995380737</v>
      </c>
      <c r="L2" s="63">
        <f>Summary!$I$3</f>
        <v>0.91996934231066485</v>
      </c>
      <c r="M2" s="63">
        <f>Summary!$J$3</f>
        <v>0.91996934231066485</v>
      </c>
      <c r="N2" s="63">
        <f>Summary!$K$3</f>
        <v>0.91996934231066485</v>
      </c>
      <c r="O2" s="63">
        <f>Summary!$L$3</f>
        <v>0.91996934231066485</v>
      </c>
      <c r="P2" s="63">
        <f>Summary!$M$3</f>
        <v>0.91996934231066485</v>
      </c>
    </row>
    <row r="3" spans="2:17" s="44" customFormat="1" ht="20" customHeight="1" x14ac:dyDescent="0.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5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5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5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55000000000000004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55000000000000004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9453762505.8857327</v>
      </c>
      <c r="I8" s="82">
        <f>Table4[[#Totals],[2024]]+(I2-H2)*100*$I$11</f>
        <v>9411281756.9946022</v>
      </c>
      <c r="J8" s="82">
        <f>Table4[[#Totals],[2025]]+(J2-I2)*100*$I$11</f>
        <v>9405371076.8490448</v>
      </c>
      <c r="K8" s="82">
        <f>Table4[[#Totals],[2026]]+(K2-J2)*100*$I$11</f>
        <v>10421414931.293049</v>
      </c>
      <c r="L8" s="82">
        <f>Table4[[#Totals],[2027]]+(L2-K2)*100*$I$11</f>
        <v>10328874852.973759</v>
      </c>
      <c r="M8" s="82">
        <f>Table4[[#Totals],[2028]]+(M2-L2)*100*$I$11</f>
        <v>10328874852.973759</v>
      </c>
      <c r="N8" s="82">
        <f>Table4[[#Totals],[2029]]+(N2-M2)*100*$I$11</f>
        <v>10328874852.973759</v>
      </c>
      <c r="O8" s="82">
        <f>Table4[[#Totals],[2030]]+(O2-N2)*100*$I$11</f>
        <v>10328874852.973759</v>
      </c>
      <c r="P8" s="82">
        <f>Table4[[#Totals],[2031]]+(P2-O2)*100*$I$11</f>
        <v>10328874852.973759</v>
      </c>
      <c r="Q8" s="79"/>
    </row>
    <row r="9" spans="2:17" ht="20" customHeight="1" x14ac:dyDescent="0.5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5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5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5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5">
      <c r="C13" s="8"/>
      <c r="D13" s="8"/>
    </row>
    <row r="14" spans="2:17" ht="20" customHeight="1" x14ac:dyDescent="0.5">
      <c r="G14" s="77" t="s">
        <v>79</v>
      </c>
      <c r="H14" s="78" t="s">
        <v>72</v>
      </c>
    </row>
    <row r="19" spans="6:7" x14ac:dyDescent="0.5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2022-10-07T08:10:36Z</dcterms:modified>
</cp:coreProperties>
</file>