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samba\Downloads\"/>
    </mc:Choice>
  </mc:AlternateContent>
  <xr:revisionPtr revIDLastSave="0" documentId="13_ncr:1_{202CAA46-68A3-4ECE-A39C-B16B60CCCD46}" xr6:coauthVersionLast="47" xr6:coauthVersionMax="47" xr10:uidLastSave="{00000000-0000-0000-0000-000000000000}"/>
  <bookViews>
    <workbookView xWindow="-110" yWindow="-110" windowWidth="19420" windowHeight="11020" firstSheet="1" activeTab="3" xr2:uid="{799B8319-66F3-4C18-985D-516FDDDB22E3}"/>
  </bookViews>
  <sheets>
    <sheet name="BULLETIN DE SALAIRE" sheetId="15" r:id="rId1"/>
    <sheet name="Sheet3" sheetId="16" r:id="rId2"/>
    <sheet name="DataSet_BON" sheetId="4" r:id="rId3"/>
    <sheet name="DASHBOARD" sheetId="14" r:id="rId4"/>
    <sheet name="Sheet1" sheetId="2" r:id="rId5"/>
    <sheet name="Sheet2" sheetId="3" r:id="rId6"/>
    <sheet name="FICHE_EMPLOYE" sheetId="5" r:id="rId7"/>
    <sheet name="Sheet5" sheetId="6" r:id="rId8"/>
    <sheet name="Sheet6" sheetId="7" r:id="rId9"/>
    <sheet name="INDEMNITES_PRIMES" sheetId="8" r:id="rId10"/>
    <sheet name="AVANCES" sheetId="9" r:id="rId11"/>
    <sheet name="MATRICULE" sheetId="10" r:id="rId12"/>
  </sheets>
  <definedNames>
    <definedName name="Slicer_Catégorie">#N/A</definedName>
    <definedName name="Slicer_Département">#N/A</definedName>
    <definedName name="Slicer_Sexe">#N/A</definedName>
  </definedNames>
  <calcPr calcId="191029"/>
  <pivotCaches>
    <pivotCache cacheId="0" r:id="rId13"/>
  </pivotCaches>
  <extLs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8" i="15" l="1"/>
  <c r="C16" i="15"/>
  <c r="B9" i="15"/>
  <c r="C7" i="15"/>
  <c r="O2" i="2"/>
  <c r="P2" i="2"/>
  <c r="Q2" i="2"/>
  <c r="R2" i="2"/>
  <c r="S2" i="2"/>
  <c r="T2" i="2"/>
  <c r="U2" i="2"/>
  <c r="N2" i="2"/>
  <c r="AE3" i="4"/>
  <c r="AE4" i="4"/>
  <c r="AE5" i="4"/>
  <c r="AE6" i="4"/>
  <c r="AE7" i="4"/>
  <c r="AE8" i="4"/>
  <c r="AE10" i="4"/>
  <c r="AE11" i="4"/>
  <c r="AE12" i="4"/>
  <c r="AE13" i="4"/>
  <c r="AE14" i="4"/>
  <c r="AE15" i="4"/>
  <c r="AE16" i="4"/>
  <c r="AE17" i="4"/>
  <c r="AE18" i="4"/>
  <c r="AE20" i="4"/>
  <c r="AE21" i="4"/>
  <c r="AE22" i="4"/>
  <c r="AE23" i="4"/>
  <c r="AE24" i="4"/>
  <c r="AE25" i="4"/>
  <c r="AE26" i="4"/>
  <c r="AE27" i="4"/>
  <c r="AE28" i="4"/>
  <c r="AE29" i="4"/>
  <c r="AE30" i="4"/>
  <c r="AE31" i="4"/>
  <c r="AE32" i="4"/>
  <c r="AE33" i="4"/>
  <c r="AE34" i="4"/>
  <c r="AE35" i="4"/>
  <c r="AE36" i="4"/>
  <c r="AE37" i="4"/>
  <c r="AE38" i="4"/>
  <c r="AE39" i="4"/>
  <c r="AE40" i="4"/>
  <c r="AE41" i="4"/>
  <c r="AE42" i="4"/>
  <c r="AE2" i="4"/>
  <c r="J2" i="8"/>
  <c r="J3" i="8"/>
  <c r="AE9" i="4" s="1"/>
  <c r="J4" i="8"/>
  <c r="AE19" i="4" s="1"/>
  <c r="J5" i="8"/>
  <c r="J6" i="8"/>
  <c r="AD3" i="4"/>
  <c r="AD4" i="4"/>
  <c r="AD5" i="4"/>
  <c r="AD6" i="4"/>
  <c r="AD7" i="4"/>
  <c r="AD8" i="4"/>
  <c r="AD9" i="4"/>
  <c r="AD10" i="4"/>
  <c r="AD11" i="4"/>
  <c r="AD12" i="4"/>
  <c r="AD13" i="4"/>
  <c r="AD14" i="4"/>
  <c r="AD15" i="4"/>
  <c r="AD16" i="4"/>
  <c r="AD17" i="4"/>
  <c r="AD18" i="4"/>
  <c r="AD19" i="4"/>
  <c r="AD20" i="4"/>
  <c r="AD21" i="4"/>
  <c r="AD22" i="4"/>
  <c r="AD23" i="4"/>
  <c r="AD24" i="4"/>
  <c r="AD25" i="4"/>
  <c r="AD26" i="4"/>
  <c r="AD27" i="4"/>
  <c r="AD28" i="4"/>
  <c r="AD29" i="4"/>
  <c r="AD30" i="4"/>
  <c r="AD31" i="4"/>
  <c r="AD32" i="4"/>
  <c r="AD33" i="4"/>
  <c r="AD34" i="4"/>
  <c r="AD35" i="4"/>
  <c r="AD36" i="4"/>
  <c r="AD37" i="4"/>
  <c r="AD38" i="4"/>
  <c r="AD39" i="4"/>
  <c r="AD40" i="4"/>
  <c r="AD41" i="4"/>
  <c r="AD42" i="4"/>
  <c r="AD2" i="4"/>
  <c r="AC3" i="4"/>
  <c r="AC4" i="4"/>
  <c r="AC5" i="4"/>
  <c r="AC6" i="4"/>
  <c r="AC7" i="4"/>
  <c r="AC8" i="4"/>
  <c r="AC9" i="4"/>
  <c r="AC10" i="4"/>
  <c r="AC11" i="4"/>
  <c r="AC12" i="4"/>
  <c r="AC13" i="4"/>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2" i="4"/>
  <c r="F2" i="6"/>
  <c r="F3" i="6"/>
  <c r="F4" i="6"/>
  <c r="F2" i="3"/>
  <c r="F3" i="3"/>
  <c r="F4" i="3"/>
  <c r="F5" i="3"/>
  <c r="F6" i="3"/>
  <c r="AB3" i="4"/>
  <c r="AB4" i="4"/>
  <c r="AB5" i="4"/>
  <c r="AB6" i="4"/>
  <c r="AB7" i="4"/>
  <c r="AB8" i="4"/>
  <c r="AB9" i="4"/>
  <c r="AB10" i="4"/>
  <c r="AB11" i="4"/>
  <c r="AB12" i="4"/>
  <c r="AB13" i="4"/>
  <c r="AB14" i="4"/>
  <c r="AB15" i="4"/>
  <c r="AB16" i="4"/>
  <c r="AB17" i="4"/>
  <c r="AB18" i="4"/>
  <c r="AB19" i="4"/>
  <c r="AB20" i="4"/>
  <c r="AB21" i="4"/>
  <c r="AB22" i="4"/>
  <c r="AB23" i="4"/>
  <c r="AB24" i="4"/>
  <c r="AB25" i="4"/>
  <c r="AB26" i="4"/>
  <c r="AB27" i="4"/>
  <c r="AB28" i="4"/>
  <c r="AB29" i="4"/>
  <c r="AB30" i="4"/>
  <c r="AB31" i="4"/>
  <c r="AB32" i="4"/>
  <c r="AB33" i="4"/>
  <c r="AB34" i="4"/>
  <c r="AB35" i="4"/>
  <c r="AB36" i="4"/>
  <c r="AB37" i="4"/>
  <c r="AB38" i="4"/>
  <c r="AB39" i="4"/>
  <c r="AB40" i="4"/>
  <c r="AB41" i="4"/>
  <c r="AB42" i="4"/>
  <c r="AB2" i="4"/>
  <c r="Y42" i="4"/>
  <c r="K42" i="4"/>
  <c r="L42" i="4" s="1"/>
  <c r="E42" i="4"/>
  <c r="F42" i="4" s="1"/>
  <c r="Y41" i="4"/>
  <c r="K41" i="4"/>
  <c r="L41" i="4" s="1"/>
  <c r="E41" i="4"/>
  <c r="F41" i="4" s="1"/>
  <c r="Y40" i="4"/>
  <c r="K40" i="4"/>
  <c r="L40" i="4" s="1"/>
  <c r="E40" i="4"/>
  <c r="F40" i="4" s="1"/>
  <c r="Y39" i="4"/>
  <c r="K39" i="4"/>
  <c r="L39" i="4" s="1"/>
  <c r="E39" i="4"/>
  <c r="F39" i="4" s="1"/>
  <c r="Y38" i="4"/>
  <c r="K38" i="4"/>
  <c r="L38" i="4" s="1"/>
  <c r="E38" i="4"/>
  <c r="F38" i="4" s="1"/>
  <c r="Y37" i="4"/>
  <c r="K37" i="4"/>
  <c r="L37" i="4" s="1"/>
  <c r="E37" i="4"/>
  <c r="F37" i="4" s="1"/>
  <c r="Y36" i="4"/>
  <c r="K36" i="4"/>
  <c r="L36" i="4" s="1"/>
  <c r="E36" i="4"/>
  <c r="F36" i="4" s="1"/>
  <c r="Y35" i="4"/>
  <c r="K35" i="4"/>
  <c r="L35" i="4" s="1"/>
  <c r="E35" i="4"/>
  <c r="F35" i="4" s="1"/>
  <c r="Y34" i="4"/>
  <c r="K34" i="4"/>
  <c r="L34" i="4" s="1"/>
  <c r="E34" i="4"/>
  <c r="F34" i="4" s="1"/>
  <c r="Y33" i="4"/>
  <c r="K33" i="4"/>
  <c r="L33" i="4" s="1"/>
  <c r="E33" i="4"/>
  <c r="F33" i="4" s="1"/>
  <c r="Y32" i="4"/>
  <c r="K32" i="4"/>
  <c r="L32" i="4" s="1"/>
  <c r="E32" i="4"/>
  <c r="F32" i="4" s="1"/>
  <c r="Y31" i="4"/>
  <c r="K31" i="4"/>
  <c r="L31" i="4" s="1"/>
  <c r="E31" i="4"/>
  <c r="F31" i="4" s="1"/>
  <c r="Y30" i="4"/>
  <c r="K30" i="4"/>
  <c r="L30" i="4" s="1"/>
  <c r="E30" i="4"/>
  <c r="F30" i="4" s="1"/>
  <c r="Y29" i="4"/>
  <c r="K29" i="4"/>
  <c r="L29" i="4" s="1"/>
  <c r="E29" i="4"/>
  <c r="F29" i="4" s="1"/>
  <c r="Y28" i="4"/>
  <c r="K28" i="4"/>
  <c r="L28" i="4" s="1"/>
  <c r="E28" i="4"/>
  <c r="F28" i="4" s="1"/>
  <c r="Y27" i="4"/>
  <c r="K27" i="4"/>
  <c r="L27" i="4" s="1"/>
  <c r="E27" i="4"/>
  <c r="F27" i="4" s="1"/>
  <c r="Y26" i="4"/>
  <c r="K26" i="4"/>
  <c r="L26" i="4" s="1"/>
  <c r="E26" i="4"/>
  <c r="F26" i="4" s="1"/>
  <c r="Y25" i="4"/>
  <c r="K25" i="4"/>
  <c r="L25" i="4" s="1"/>
  <c r="E25" i="4"/>
  <c r="F25" i="4" s="1"/>
  <c r="Y24" i="4"/>
  <c r="K24" i="4"/>
  <c r="L24" i="4" s="1"/>
  <c r="E24" i="4"/>
  <c r="F24" i="4" s="1"/>
  <c r="Y23" i="4"/>
  <c r="K23" i="4"/>
  <c r="L23" i="4" s="1"/>
  <c r="E23" i="4"/>
  <c r="F23" i="4" s="1"/>
  <c r="Y22" i="4"/>
  <c r="K22" i="4"/>
  <c r="L22" i="4" s="1"/>
  <c r="E22" i="4"/>
  <c r="F22" i="4" s="1"/>
  <c r="Y21" i="4"/>
  <c r="K21" i="4"/>
  <c r="L21" i="4" s="1"/>
  <c r="E21" i="4"/>
  <c r="F21" i="4" s="1"/>
  <c r="Y20" i="4"/>
  <c r="K20" i="4"/>
  <c r="L20" i="4" s="1"/>
  <c r="E20" i="4"/>
  <c r="F20" i="4" s="1"/>
  <c r="Y19" i="4"/>
  <c r="K19" i="4"/>
  <c r="L19" i="4" s="1"/>
  <c r="E19" i="4"/>
  <c r="F19" i="4" s="1"/>
  <c r="Y18" i="4"/>
  <c r="K18" i="4"/>
  <c r="L18" i="4" s="1"/>
  <c r="E18" i="4"/>
  <c r="F18" i="4" s="1"/>
  <c r="Y17" i="4"/>
  <c r="K17" i="4"/>
  <c r="L17" i="4" s="1"/>
  <c r="E17" i="4"/>
  <c r="F17" i="4" s="1"/>
  <c r="Y16" i="4"/>
  <c r="K16" i="4"/>
  <c r="L16" i="4" s="1"/>
  <c r="E16" i="4"/>
  <c r="F16" i="4" s="1"/>
  <c r="Y15" i="4"/>
  <c r="K15" i="4"/>
  <c r="L15" i="4" s="1"/>
  <c r="E15" i="4"/>
  <c r="F15" i="4" s="1"/>
  <c r="Y14" i="4"/>
  <c r="K14" i="4"/>
  <c r="L14" i="4" s="1"/>
  <c r="E14" i="4"/>
  <c r="F14" i="4" s="1"/>
  <c r="Y13" i="4"/>
  <c r="K13" i="4"/>
  <c r="L13" i="4" s="1"/>
  <c r="E13" i="4"/>
  <c r="F13" i="4" s="1"/>
  <c r="Y12" i="4"/>
  <c r="K12" i="4"/>
  <c r="L12" i="4" s="1"/>
  <c r="E12" i="4"/>
  <c r="F12" i="4" s="1"/>
  <c r="Y11" i="4"/>
  <c r="K11" i="4"/>
  <c r="L11" i="4" s="1"/>
  <c r="E11" i="4"/>
  <c r="F11" i="4" s="1"/>
  <c r="Y10" i="4"/>
  <c r="K10" i="4"/>
  <c r="L10" i="4" s="1"/>
  <c r="E10" i="4"/>
  <c r="F10" i="4" s="1"/>
  <c r="Y9" i="4"/>
  <c r="K9" i="4"/>
  <c r="L9" i="4" s="1"/>
  <c r="E9" i="4"/>
  <c r="F9" i="4" s="1"/>
  <c r="Y8" i="4"/>
  <c r="K8" i="4"/>
  <c r="L8" i="4" s="1"/>
  <c r="E8" i="4"/>
  <c r="F8" i="4" s="1"/>
  <c r="Y7" i="4"/>
  <c r="K7" i="4"/>
  <c r="L7" i="4" s="1"/>
  <c r="E7" i="4"/>
  <c r="F7" i="4" s="1"/>
  <c r="Y6" i="4"/>
  <c r="K6" i="4"/>
  <c r="L6" i="4" s="1"/>
  <c r="E6" i="4"/>
  <c r="F6" i="4" s="1"/>
  <c r="Y5" i="4"/>
  <c r="K5" i="4"/>
  <c r="L5" i="4" s="1"/>
  <c r="E5" i="4"/>
  <c r="F5" i="4" s="1"/>
  <c r="Y4" i="4"/>
  <c r="K4" i="4"/>
  <c r="L4" i="4" s="1"/>
  <c r="E4" i="4"/>
  <c r="F4" i="4" s="1"/>
  <c r="Y3" i="4"/>
  <c r="K3" i="4"/>
  <c r="L3" i="4" s="1"/>
  <c r="E3" i="4"/>
  <c r="F3" i="4" s="1"/>
  <c r="Y2" i="4"/>
  <c r="K2" i="4"/>
  <c r="L2" i="4" s="1"/>
  <c r="E2" i="4"/>
  <c r="F2" i="4" s="1"/>
  <c r="N6" i="2"/>
  <c r="O6" i="2"/>
  <c r="P6" i="2" s="1"/>
  <c r="Q6" i="2" s="1"/>
  <c r="R6" i="2" s="1"/>
  <c r="S6" i="2" s="1"/>
  <c r="T6" i="2" s="1"/>
  <c r="U6" i="2" s="1"/>
  <c r="Q8" i="2"/>
  <c r="R8" i="2" s="1"/>
  <c r="S8" i="2" s="1"/>
  <c r="T8" i="2" s="1"/>
  <c r="U8" i="2" s="1"/>
  <c r="Q9" i="2"/>
  <c r="R9" i="2" s="1"/>
  <c r="S9" i="2" s="1"/>
  <c r="T9" i="2" s="1"/>
  <c r="U9" i="2" s="1"/>
  <c r="N10" i="2"/>
  <c r="O10" i="2"/>
  <c r="P10" i="2" s="1"/>
  <c r="Q10" i="2" s="1"/>
  <c r="R10" i="2" s="1"/>
  <c r="S10" i="2" s="1"/>
  <c r="T10" i="2" s="1"/>
  <c r="U10" i="2" s="1"/>
  <c r="N14" i="2"/>
  <c r="O14" i="2"/>
  <c r="P14" i="2" s="1"/>
  <c r="Q14" i="2" s="1"/>
  <c r="R14" i="2" s="1"/>
  <c r="S14" i="2" s="1"/>
  <c r="T14" i="2" s="1"/>
  <c r="U14" i="2" s="1"/>
  <c r="Q16" i="2"/>
  <c r="R16" i="2" s="1"/>
  <c r="S16" i="2" s="1"/>
  <c r="T16" i="2" s="1"/>
  <c r="U16" i="2" s="1"/>
  <c r="Q17" i="2"/>
  <c r="R17" i="2" s="1"/>
  <c r="S17" i="2" s="1"/>
  <c r="T17" i="2" s="1"/>
  <c r="U17" i="2" s="1"/>
  <c r="N18" i="2"/>
  <c r="O18" i="2"/>
  <c r="P18" i="2" s="1"/>
  <c r="Q18" i="2" s="1"/>
  <c r="R18" i="2" s="1"/>
  <c r="S18" i="2" s="1"/>
  <c r="T18" i="2" s="1"/>
  <c r="U18" i="2" s="1"/>
  <c r="N22" i="2"/>
  <c r="O22" i="2"/>
  <c r="P22" i="2" s="1"/>
  <c r="Q22" i="2" s="1"/>
  <c r="R22" i="2" s="1"/>
  <c r="S22" i="2" s="1"/>
  <c r="T22" i="2" s="1"/>
  <c r="U22" i="2" s="1"/>
  <c r="Q24" i="2"/>
  <c r="R24" i="2" s="1"/>
  <c r="S24" i="2" s="1"/>
  <c r="T24" i="2" s="1"/>
  <c r="U24" i="2" s="1"/>
  <c r="Q25" i="2"/>
  <c r="R25" i="2" s="1"/>
  <c r="S25" i="2" s="1"/>
  <c r="T25" i="2" s="1"/>
  <c r="U25" i="2" s="1"/>
  <c r="N29" i="2"/>
  <c r="O29" i="2"/>
  <c r="P29" i="2" s="1"/>
  <c r="Q29" i="2" s="1"/>
  <c r="R29" i="2" s="1"/>
  <c r="S29" i="2" s="1"/>
  <c r="T29" i="2" s="1"/>
  <c r="U29" i="2" s="1"/>
  <c r="N30" i="2"/>
  <c r="O30" i="2" s="1"/>
  <c r="P30" i="2" s="1"/>
  <c r="Q30" i="2" s="1"/>
  <c r="R30" i="2" s="1"/>
  <c r="S30" i="2" s="1"/>
  <c r="T30" i="2" s="1"/>
  <c r="U30" i="2" s="1"/>
  <c r="Q32" i="2"/>
  <c r="R32" i="2" s="1"/>
  <c r="S32" i="2" s="1"/>
  <c r="T32" i="2" s="1"/>
  <c r="U32" i="2" s="1"/>
  <c r="Q33" i="2"/>
  <c r="R33" i="2" s="1"/>
  <c r="S33" i="2" s="1"/>
  <c r="T33" i="2" s="1"/>
  <c r="U33" i="2" s="1"/>
  <c r="N37" i="2"/>
  <c r="O37" i="2"/>
  <c r="P37" i="2" s="1"/>
  <c r="Q37" i="2" s="1"/>
  <c r="R37" i="2" s="1"/>
  <c r="S37" i="2" s="1"/>
  <c r="T37" i="2" s="1"/>
  <c r="U37" i="2" s="1"/>
  <c r="N38" i="2"/>
  <c r="O38" i="2" s="1"/>
  <c r="P38" i="2" s="1"/>
  <c r="Q38" i="2" s="1"/>
  <c r="R38" i="2" s="1"/>
  <c r="S38" i="2" s="1"/>
  <c r="T38" i="2" s="1"/>
  <c r="U38" i="2" s="1"/>
  <c r="Q40" i="2"/>
  <c r="R40" i="2" s="1"/>
  <c r="S40" i="2" s="1"/>
  <c r="T40" i="2" s="1"/>
  <c r="U40" i="2" s="1"/>
  <c r="Q41" i="2"/>
  <c r="R41" i="2" s="1"/>
  <c r="S41" i="2" s="1"/>
  <c r="T41" i="2" s="1"/>
  <c r="U41" i="2" s="1"/>
  <c r="O44" i="2"/>
  <c r="P44" i="2" s="1"/>
  <c r="Q44" i="2" s="1"/>
  <c r="R44" i="2" s="1"/>
  <c r="S44" i="2" s="1"/>
  <c r="T44" i="2" s="1"/>
  <c r="U44" i="2" s="1"/>
  <c r="N45" i="2"/>
  <c r="O45" i="2" s="1"/>
  <c r="P45" i="2" s="1"/>
  <c r="Q45" i="2" s="1"/>
  <c r="R45" i="2" s="1"/>
  <c r="S45" i="2" s="1"/>
  <c r="T45" i="2" s="1"/>
  <c r="U45" i="2" s="1"/>
  <c r="N46" i="2"/>
  <c r="O46" i="2" s="1"/>
  <c r="P46" i="2" s="1"/>
  <c r="Q46" i="2" s="1"/>
  <c r="R46" i="2" s="1"/>
  <c r="S46" i="2" s="1"/>
  <c r="T46" i="2" s="1"/>
  <c r="U46" i="2" s="1"/>
  <c r="P49" i="2"/>
  <c r="Q49" i="2" s="1"/>
  <c r="R49" i="2" s="1"/>
  <c r="S49" i="2" s="1"/>
  <c r="T49" i="2" s="1"/>
  <c r="U49" i="2" s="1"/>
  <c r="N52" i="2"/>
  <c r="O52" i="2" s="1"/>
  <c r="P52" i="2" s="1"/>
  <c r="Q52" i="2" s="1"/>
  <c r="R52" i="2" s="1"/>
  <c r="S52" i="2" s="1"/>
  <c r="T52" i="2" s="1"/>
  <c r="U52" i="2" s="1"/>
  <c r="N53" i="2"/>
  <c r="O53" i="2"/>
  <c r="P53" i="2" s="1"/>
  <c r="Q53" i="2" s="1"/>
  <c r="R53" i="2" s="1"/>
  <c r="S53" i="2"/>
  <c r="T53" i="2" s="1"/>
  <c r="U53" i="2" s="1"/>
  <c r="N54" i="2"/>
  <c r="O54" i="2" s="1"/>
  <c r="P54" i="2" s="1"/>
  <c r="Q54" i="2" s="1"/>
  <c r="R54" i="2" s="1"/>
  <c r="S54" i="2" s="1"/>
  <c r="T54" i="2" s="1"/>
  <c r="U54" i="2" s="1"/>
  <c r="P56" i="2"/>
  <c r="Q56" i="2" s="1"/>
  <c r="R56" i="2" s="1"/>
  <c r="S56" i="2" s="1"/>
  <c r="T56" i="2" s="1"/>
  <c r="U56" i="2" s="1"/>
  <c r="O58" i="2"/>
  <c r="P58" i="2" s="1"/>
  <c r="Q58" i="2" s="1"/>
  <c r="R58" i="2" s="1"/>
  <c r="S58" i="2" s="1"/>
  <c r="T58" i="2" s="1"/>
  <c r="U58" i="2" s="1"/>
  <c r="N61" i="2"/>
  <c r="O61" i="2" s="1"/>
  <c r="P61" i="2" s="1"/>
  <c r="Q61" i="2" s="1"/>
  <c r="R61" i="2" s="1"/>
  <c r="S61" i="2" s="1"/>
  <c r="T61" i="2" s="1"/>
  <c r="U61" i="2" s="1"/>
  <c r="N62" i="2"/>
  <c r="O62" i="2" s="1"/>
  <c r="P62" i="2" s="1"/>
  <c r="Q62" i="2" s="1"/>
  <c r="R62" i="2" s="1"/>
  <c r="S62" i="2" s="1"/>
  <c r="T62" i="2" s="1"/>
  <c r="U62" i="2" s="1"/>
  <c r="P65" i="2"/>
  <c r="Q65" i="2" s="1"/>
  <c r="R65" i="2" s="1"/>
  <c r="S65" i="2" s="1"/>
  <c r="T65" i="2" s="1"/>
  <c r="U65" i="2" s="1"/>
  <c r="N68" i="2"/>
  <c r="O68" i="2" s="1"/>
  <c r="P68" i="2" s="1"/>
  <c r="Q68" i="2" s="1"/>
  <c r="R68" i="2" s="1"/>
  <c r="S68" i="2" s="1"/>
  <c r="T68" i="2" s="1"/>
  <c r="U68" i="2" s="1"/>
  <c r="N3" i="2"/>
  <c r="O3" i="2" s="1"/>
  <c r="P3" i="2" s="1"/>
  <c r="Q3" i="2" s="1"/>
  <c r="R3" i="2" s="1"/>
  <c r="S3" i="2" s="1"/>
  <c r="T3" i="2" s="1"/>
  <c r="U3" i="2" s="1"/>
  <c r="K4" i="2"/>
  <c r="L4" i="2" s="1"/>
  <c r="N4" i="2" s="1"/>
  <c r="O4" i="2" s="1"/>
  <c r="P4" i="2" s="1"/>
  <c r="Q4" i="2" s="1"/>
  <c r="R4" i="2" s="1"/>
  <c r="S4" i="2" s="1"/>
  <c r="T4" i="2" s="1"/>
  <c r="U4" i="2" s="1"/>
  <c r="K5" i="2"/>
  <c r="L5" i="2" s="1"/>
  <c r="N5" i="2" s="1"/>
  <c r="O5" i="2" s="1"/>
  <c r="P5" i="2" s="1"/>
  <c r="Q5" i="2" s="1"/>
  <c r="R5" i="2" s="1"/>
  <c r="S5" i="2" s="1"/>
  <c r="T5" i="2" s="1"/>
  <c r="U5" i="2" s="1"/>
  <c r="K6" i="2"/>
  <c r="L6" i="2" s="1"/>
  <c r="K7" i="2"/>
  <c r="L7" i="2" s="1"/>
  <c r="N7" i="2" s="1"/>
  <c r="O7" i="2" s="1"/>
  <c r="P7" i="2" s="1"/>
  <c r="Q7" i="2" s="1"/>
  <c r="R7" i="2" s="1"/>
  <c r="S7" i="2" s="1"/>
  <c r="T7" i="2" s="1"/>
  <c r="U7" i="2" s="1"/>
  <c r="K8" i="2"/>
  <c r="L8" i="2" s="1"/>
  <c r="N8" i="2" s="1"/>
  <c r="O8" i="2" s="1"/>
  <c r="P8" i="2" s="1"/>
  <c r="K9" i="2"/>
  <c r="L9" i="2" s="1"/>
  <c r="N9" i="2" s="1"/>
  <c r="O9" i="2" s="1"/>
  <c r="P9" i="2" s="1"/>
  <c r="K10" i="2"/>
  <c r="L10" i="2" s="1"/>
  <c r="K11" i="2"/>
  <c r="L11" i="2" s="1"/>
  <c r="N11" i="2" s="1"/>
  <c r="O11" i="2" s="1"/>
  <c r="P11" i="2" s="1"/>
  <c r="Q11" i="2" s="1"/>
  <c r="R11" i="2" s="1"/>
  <c r="S11" i="2" s="1"/>
  <c r="T11" i="2" s="1"/>
  <c r="U11" i="2" s="1"/>
  <c r="K12" i="2"/>
  <c r="L12" i="2" s="1"/>
  <c r="N12" i="2" s="1"/>
  <c r="O12" i="2" s="1"/>
  <c r="P12" i="2" s="1"/>
  <c r="Q12" i="2" s="1"/>
  <c r="R12" i="2" s="1"/>
  <c r="S12" i="2" s="1"/>
  <c r="T12" i="2" s="1"/>
  <c r="U12" i="2" s="1"/>
  <c r="K13" i="2"/>
  <c r="L13" i="2" s="1"/>
  <c r="N13" i="2" s="1"/>
  <c r="O13" i="2" s="1"/>
  <c r="P13" i="2" s="1"/>
  <c r="Q13" i="2" s="1"/>
  <c r="R13" i="2" s="1"/>
  <c r="S13" i="2" s="1"/>
  <c r="T13" i="2" s="1"/>
  <c r="U13" i="2" s="1"/>
  <c r="K14" i="2"/>
  <c r="L14" i="2" s="1"/>
  <c r="K15" i="2"/>
  <c r="L15" i="2" s="1"/>
  <c r="N15" i="2" s="1"/>
  <c r="O15" i="2" s="1"/>
  <c r="P15" i="2" s="1"/>
  <c r="Q15" i="2" s="1"/>
  <c r="R15" i="2" s="1"/>
  <c r="S15" i="2" s="1"/>
  <c r="T15" i="2" s="1"/>
  <c r="U15" i="2" s="1"/>
  <c r="K16" i="2"/>
  <c r="L16" i="2" s="1"/>
  <c r="N16" i="2" s="1"/>
  <c r="O16" i="2" s="1"/>
  <c r="P16" i="2" s="1"/>
  <c r="K17" i="2"/>
  <c r="L17" i="2" s="1"/>
  <c r="N17" i="2" s="1"/>
  <c r="O17" i="2" s="1"/>
  <c r="P17" i="2" s="1"/>
  <c r="K18" i="2"/>
  <c r="L18" i="2" s="1"/>
  <c r="K19" i="2"/>
  <c r="L19" i="2" s="1"/>
  <c r="N19" i="2" s="1"/>
  <c r="O19" i="2" s="1"/>
  <c r="P19" i="2" s="1"/>
  <c r="Q19" i="2" s="1"/>
  <c r="R19" i="2" s="1"/>
  <c r="S19" i="2" s="1"/>
  <c r="T19" i="2" s="1"/>
  <c r="U19" i="2" s="1"/>
  <c r="K20" i="2"/>
  <c r="L20" i="2" s="1"/>
  <c r="N20" i="2" s="1"/>
  <c r="O20" i="2" s="1"/>
  <c r="P20" i="2" s="1"/>
  <c r="Q20" i="2" s="1"/>
  <c r="R20" i="2" s="1"/>
  <c r="S20" i="2" s="1"/>
  <c r="T20" i="2" s="1"/>
  <c r="U20" i="2" s="1"/>
  <c r="K21" i="2"/>
  <c r="L21" i="2" s="1"/>
  <c r="N21" i="2" s="1"/>
  <c r="O21" i="2" s="1"/>
  <c r="P21" i="2" s="1"/>
  <c r="Q21" i="2" s="1"/>
  <c r="R21" i="2" s="1"/>
  <c r="S21" i="2" s="1"/>
  <c r="T21" i="2" s="1"/>
  <c r="U21" i="2" s="1"/>
  <c r="K22" i="2"/>
  <c r="L22" i="2" s="1"/>
  <c r="K23" i="2"/>
  <c r="L23" i="2" s="1"/>
  <c r="N23" i="2" s="1"/>
  <c r="O23" i="2" s="1"/>
  <c r="P23" i="2" s="1"/>
  <c r="Q23" i="2" s="1"/>
  <c r="R23" i="2" s="1"/>
  <c r="S23" i="2" s="1"/>
  <c r="T23" i="2" s="1"/>
  <c r="U23" i="2" s="1"/>
  <c r="K24" i="2"/>
  <c r="L24" i="2" s="1"/>
  <c r="N24" i="2" s="1"/>
  <c r="O24" i="2" s="1"/>
  <c r="P24" i="2" s="1"/>
  <c r="K25" i="2"/>
  <c r="L25" i="2" s="1"/>
  <c r="N25" i="2" s="1"/>
  <c r="O25" i="2" s="1"/>
  <c r="P25" i="2" s="1"/>
  <c r="K26" i="2"/>
  <c r="L26" i="2" s="1"/>
  <c r="N26" i="2" s="1"/>
  <c r="O26" i="2" s="1"/>
  <c r="P26" i="2" s="1"/>
  <c r="Q26" i="2" s="1"/>
  <c r="R26" i="2" s="1"/>
  <c r="S26" i="2" s="1"/>
  <c r="T26" i="2" s="1"/>
  <c r="U26" i="2" s="1"/>
  <c r="K27" i="2"/>
  <c r="L27" i="2" s="1"/>
  <c r="N27" i="2" s="1"/>
  <c r="O27" i="2" s="1"/>
  <c r="P27" i="2" s="1"/>
  <c r="Q27" i="2" s="1"/>
  <c r="R27" i="2" s="1"/>
  <c r="S27" i="2" s="1"/>
  <c r="T27" i="2" s="1"/>
  <c r="U27" i="2" s="1"/>
  <c r="K28" i="2"/>
  <c r="L28" i="2" s="1"/>
  <c r="N28" i="2" s="1"/>
  <c r="O28" i="2" s="1"/>
  <c r="P28" i="2" s="1"/>
  <c r="Q28" i="2" s="1"/>
  <c r="R28" i="2" s="1"/>
  <c r="S28" i="2" s="1"/>
  <c r="T28" i="2" s="1"/>
  <c r="U28" i="2" s="1"/>
  <c r="K29" i="2"/>
  <c r="L29" i="2" s="1"/>
  <c r="K30" i="2"/>
  <c r="L30" i="2" s="1"/>
  <c r="K31" i="2"/>
  <c r="L31" i="2" s="1"/>
  <c r="N31" i="2" s="1"/>
  <c r="O31" i="2" s="1"/>
  <c r="P31" i="2" s="1"/>
  <c r="Q31" i="2" s="1"/>
  <c r="R31" i="2" s="1"/>
  <c r="S31" i="2" s="1"/>
  <c r="T31" i="2" s="1"/>
  <c r="U31" i="2" s="1"/>
  <c r="K32" i="2"/>
  <c r="L32" i="2" s="1"/>
  <c r="N32" i="2" s="1"/>
  <c r="O32" i="2" s="1"/>
  <c r="P32" i="2" s="1"/>
  <c r="K33" i="2"/>
  <c r="L33" i="2" s="1"/>
  <c r="N33" i="2" s="1"/>
  <c r="O33" i="2" s="1"/>
  <c r="P33" i="2" s="1"/>
  <c r="K34" i="2"/>
  <c r="L34" i="2" s="1"/>
  <c r="N34" i="2" s="1"/>
  <c r="O34" i="2" s="1"/>
  <c r="P34" i="2" s="1"/>
  <c r="Q34" i="2" s="1"/>
  <c r="R34" i="2" s="1"/>
  <c r="S34" i="2" s="1"/>
  <c r="T34" i="2" s="1"/>
  <c r="U34" i="2" s="1"/>
  <c r="K35" i="2"/>
  <c r="L35" i="2" s="1"/>
  <c r="N35" i="2" s="1"/>
  <c r="O35" i="2" s="1"/>
  <c r="P35" i="2" s="1"/>
  <c r="Q35" i="2" s="1"/>
  <c r="R35" i="2" s="1"/>
  <c r="S35" i="2" s="1"/>
  <c r="T35" i="2" s="1"/>
  <c r="U35" i="2" s="1"/>
  <c r="K36" i="2"/>
  <c r="L36" i="2" s="1"/>
  <c r="N36" i="2" s="1"/>
  <c r="O36" i="2" s="1"/>
  <c r="P36" i="2" s="1"/>
  <c r="Q36" i="2" s="1"/>
  <c r="R36" i="2" s="1"/>
  <c r="S36" i="2" s="1"/>
  <c r="T36" i="2" s="1"/>
  <c r="U36" i="2" s="1"/>
  <c r="K37" i="2"/>
  <c r="L37" i="2" s="1"/>
  <c r="K38" i="2"/>
  <c r="L38" i="2" s="1"/>
  <c r="K39" i="2"/>
  <c r="L39" i="2" s="1"/>
  <c r="N39" i="2" s="1"/>
  <c r="O39" i="2" s="1"/>
  <c r="P39" i="2" s="1"/>
  <c r="Q39" i="2" s="1"/>
  <c r="R39" i="2" s="1"/>
  <c r="S39" i="2" s="1"/>
  <c r="T39" i="2" s="1"/>
  <c r="U39" i="2" s="1"/>
  <c r="K40" i="2"/>
  <c r="L40" i="2" s="1"/>
  <c r="N40" i="2" s="1"/>
  <c r="O40" i="2" s="1"/>
  <c r="P40" i="2" s="1"/>
  <c r="K41" i="2"/>
  <c r="L41" i="2" s="1"/>
  <c r="N41" i="2" s="1"/>
  <c r="O41" i="2" s="1"/>
  <c r="P41" i="2" s="1"/>
  <c r="K42" i="2"/>
  <c r="L42" i="2" s="1"/>
  <c r="N42" i="2" s="1"/>
  <c r="O42" i="2" s="1"/>
  <c r="P42" i="2" s="1"/>
  <c r="Q42" i="2" s="1"/>
  <c r="R42" i="2" s="1"/>
  <c r="S42" i="2" s="1"/>
  <c r="T42" i="2" s="1"/>
  <c r="U42" i="2" s="1"/>
  <c r="K43" i="2"/>
  <c r="L43" i="2" s="1"/>
  <c r="N43" i="2" s="1"/>
  <c r="O43" i="2" s="1"/>
  <c r="P43" i="2" s="1"/>
  <c r="Q43" i="2" s="1"/>
  <c r="R43" i="2" s="1"/>
  <c r="S43" i="2" s="1"/>
  <c r="T43" i="2" s="1"/>
  <c r="U43" i="2" s="1"/>
  <c r="K44" i="2"/>
  <c r="L44" i="2" s="1"/>
  <c r="N44" i="2" s="1"/>
  <c r="K45" i="2"/>
  <c r="L45" i="2" s="1"/>
  <c r="K46" i="2"/>
  <c r="L46" i="2" s="1"/>
  <c r="K47" i="2"/>
  <c r="L47" i="2" s="1"/>
  <c r="N47" i="2" s="1"/>
  <c r="O47" i="2" s="1"/>
  <c r="P47" i="2" s="1"/>
  <c r="Q47" i="2" s="1"/>
  <c r="R47" i="2" s="1"/>
  <c r="S47" i="2" s="1"/>
  <c r="T47" i="2" s="1"/>
  <c r="U47" i="2" s="1"/>
  <c r="K48" i="2"/>
  <c r="L48" i="2" s="1"/>
  <c r="N48" i="2" s="1"/>
  <c r="O48" i="2" s="1"/>
  <c r="P48" i="2" s="1"/>
  <c r="Q48" i="2" s="1"/>
  <c r="R48" i="2" s="1"/>
  <c r="S48" i="2" s="1"/>
  <c r="T48" i="2" s="1"/>
  <c r="U48" i="2" s="1"/>
  <c r="K49" i="2"/>
  <c r="L49" i="2" s="1"/>
  <c r="N49" i="2" s="1"/>
  <c r="O49" i="2" s="1"/>
  <c r="K50" i="2"/>
  <c r="L50" i="2" s="1"/>
  <c r="N50" i="2" s="1"/>
  <c r="O50" i="2" s="1"/>
  <c r="P50" i="2" s="1"/>
  <c r="Q50" i="2" s="1"/>
  <c r="R50" i="2" s="1"/>
  <c r="S50" i="2" s="1"/>
  <c r="T50" i="2" s="1"/>
  <c r="U50" i="2" s="1"/>
  <c r="K51" i="2"/>
  <c r="L51" i="2" s="1"/>
  <c r="N51" i="2" s="1"/>
  <c r="O51" i="2" s="1"/>
  <c r="P51" i="2" s="1"/>
  <c r="Q51" i="2" s="1"/>
  <c r="R51" i="2" s="1"/>
  <c r="S51" i="2" s="1"/>
  <c r="T51" i="2" s="1"/>
  <c r="U51" i="2" s="1"/>
  <c r="K52" i="2"/>
  <c r="L52" i="2" s="1"/>
  <c r="K53" i="2"/>
  <c r="L53" i="2" s="1"/>
  <c r="K54" i="2"/>
  <c r="L54" i="2" s="1"/>
  <c r="K55" i="2"/>
  <c r="L55" i="2" s="1"/>
  <c r="N55" i="2" s="1"/>
  <c r="O55" i="2" s="1"/>
  <c r="P55" i="2" s="1"/>
  <c r="Q55" i="2" s="1"/>
  <c r="R55" i="2" s="1"/>
  <c r="S55" i="2" s="1"/>
  <c r="T55" i="2" s="1"/>
  <c r="U55" i="2" s="1"/>
  <c r="K56" i="2"/>
  <c r="L56" i="2" s="1"/>
  <c r="N56" i="2" s="1"/>
  <c r="O56" i="2" s="1"/>
  <c r="K57" i="2"/>
  <c r="L57" i="2" s="1"/>
  <c r="N57" i="2" s="1"/>
  <c r="O57" i="2" s="1"/>
  <c r="P57" i="2" s="1"/>
  <c r="Q57" i="2" s="1"/>
  <c r="R57" i="2" s="1"/>
  <c r="S57" i="2" s="1"/>
  <c r="T57" i="2" s="1"/>
  <c r="U57" i="2" s="1"/>
  <c r="K58" i="2"/>
  <c r="L58" i="2" s="1"/>
  <c r="N58" i="2" s="1"/>
  <c r="K59" i="2"/>
  <c r="L59" i="2" s="1"/>
  <c r="N59" i="2" s="1"/>
  <c r="O59" i="2" s="1"/>
  <c r="P59" i="2" s="1"/>
  <c r="Q59" i="2" s="1"/>
  <c r="R59" i="2" s="1"/>
  <c r="S59" i="2" s="1"/>
  <c r="T59" i="2" s="1"/>
  <c r="U59" i="2" s="1"/>
  <c r="K60" i="2"/>
  <c r="L60" i="2" s="1"/>
  <c r="N60" i="2" s="1"/>
  <c r="O60" i="2" s="1"/>
  <c r="P60" i="2" s="1"/>
  <c r="Q60" i="2" s="1"/>
  <c r="R60" i="2" s="1"/>
  <c r="S60" i="2" s="1"/>
  <c r="T60" i="2" s="1"/>
  <c r="U60" i="2" s="1"/>
  <c r="K61" i="2"/>
  <c r="L61" i="2" s="1"/>
  <c r="K62" i="2"/>
  <c r="L62" i="2" s="1"/>
  <c r="K63" i="2"/>
  <c r="L63" i="2" s="1"/>
  <c r="N63" i="2" s="1"/>
  <c r="O63" i="2" s="1"/>
  <c r="P63" i="2" s="1"/>
  <c r="Q63" i="2" s="1"/>
  <c r="R63" i="2" s="1"/>
  <c r="S63" i="2" s="1"/>
  <c r="T63" i="2" s="1"/>
  <c r="U63" i="2" s="1"/>
  <c r="K64" i="2"/>
  <c r="L64" i="2" s="1"/>
  <c r="N64" i="2" s="1"/>
  <c r="O64" i="2" s="1"/>
  <c r="P64" i="2" s="1"/>
  <c r="Q64" i="2" s="1"/>
  <c r="R64" i="2" s="1"/>
  <c r="S64" i="2" s="1"/>
  <c r="T64" i="2" s="1"/>
  <c r="U64" i="2" s="1"/>
  <c r="K65" i="2"/>
  <c r="L65" i="2" s="1"/>
  <c r="N65" i="2" s="1"/>
  <c r="O65" i="2" s="1"/>
  <c r="K66" i="2"/>
  <c r="L66" i="2" s="1"/>
  <c r="N66" i="2" s="1"/>
  <c r="O66" i="2" s="1"/>
  <c r="P66" i="2" s="1"/>
  <c r="Q66" i="2" s="1"/>
  <c r="R66" i="2" s="1"/>
  <c r="S66" i="2" s="1"/>
  <c r="T66" i="2" s="1"/>
  <c r="U66" i="2" s="1"/>
  <c r="K67" i="2"/>
  <c r="L67" i="2" s="1"/>
  <c r="N67" i="2" s="1"/>
  <c r="O67" i="2" s="1"/>
  <c r="P67" i="2" s="1"/>
  <c r="Q67" i="2" s="1"/>
  <c r="R67" i="2" s="1"/>
  <c r="S67" i="2" s="1"/>
  <c r="T67" i="2" s="1"/>
  <c r="U67" i="2" s="1"/>
  <c r="K68" i="2"/>
  <c r="L68" i="2" s="1"/>
  <c r="K3" i="2"/>
  <c r="L3" i="2" s="1"/>
  <c r="C6" i="16"/>
  <c r="AF41" i="4" l="1"/>
  <c r="AI41" i="4" s="1"/>
  <c r="AF37" i="4"/>
  <c r="AI37" i="4" s="1"/>
  <c r="AF33" i="4"/>
  <c r="AI33" i="4" s="1"/>
  <c r="AF29" i="4"/>
  <c r="AI29" i="4" s="1"/>
  <c r="AF25" i="4"/>
  <c r="AI25" i="4" s="1"/>
  <c r="AF21" i="4"/>
  <c r="AI21" i="4" s="1"/>
  <c r="AF17" i="4"/>
  <c r="AI17" i="4" s="1"/>
  <c r="AF13" i="4"/>
  <c r="AI13" i="4" s="1"/>
  <c r="AF9" i="4"/>
  <c r="AI9" i="4" s="1"/>
  <c r="AF5" i="4"/>
  <c r="AI5" i="4" s="1"/>
  <c r="AF40" i="4"/>
  <c r="AI40" i="4" s="1"/>
  <c r="AF36" i="4"/>
  <c r="AI36" i="4" s="1"/>
  <c r="AF32" i="4"/>
  <c r="AI32" i="4" s="1"/>
  <c r="AF28" i="4"/>
  <c r="AI28" i="4" s="1"/>
  <c r="AF24" i="4"/>
  <c r="AI24" i="4" s="1"/>
  <c r="AF20" i="4"/>
  <c r="AI20" i="4" s="1"/>
  <c r="AF16" i="4"/>
  <c r="AI16" i="4" s="1"/>
  <c r="AF12" i="4"/>
  <c r="AI12" i="4" s="1"/>
  <c r="AF8" i="4"/>
  <c r="AI8" i="4" s="1"/>
  <c r="AF4" i="4"/>
  <c r="AI4" i="4" s="1"/>
  <c r="AF39" i="4"/>
  <c r="AI39" i="4" s="1"/>
  <c r="AF35" i="4"/>
  <c r="AI35" i="4" s="1"/>
  <c r="AF31" i="4"/>
  <c r="AI31" i="4" s="1"/>
  <c r="AF27" i="4"/>
  <c r="AI27" i="4" s="1"/>
  <c r="AF23" i="4"/>
  <c r="AI23" i="4" s="1"/>
  <c r="AF19" i="4"/>
  <c r="AI19" i="4" s="1"/>
  <c r="AF15" i="4"/>
  <c r="AI15" i="4" s="1"/>
  <c r="AF11" i="4"/>
  <c r="AI11" i="4" s="1"/>
  <c r="AF7" i="4"/>
  <c r="AI7" i="4" s="1"/>
  <c r="AF3" i="4"/>
  <c r="AI3" i="4" s="1"/>
  <c r="AF42" i="4"/>
  <c r="AI42" i="4" s="1"/>
  <c r="AF38" i="4"/>
  <c r="AI38" i="4" s="1"/>
  <c r="AF34" i="4"/>
  <c r="AI34" i="4" s="1"/>
  <c r="AF30" i="4"/>
  <c r="AI30" i="4" s="1"/>
  <c r="AF26" i="4"/>
  <c r="AI26" i="4" s="1"/>
  <c r="AF22" i="4"/>
  <c r="AI22" i="4" s="1"/>
  <c r="AF18" i="4"/>
  <c r="AI18" i="4" s="1"/>
  <c r="AF14" i="4"/>
  <c r="AI14" i="4" s="1"/>
  <c r="AF10" i="4"/>
  <c r="AI10" i="4" s="1"/>
  <c r="AF6" i="4"/>
  <c r="AI6" i="4" s="1"/>
  <c r="AF2" i="4"/>
  <c r="AI2" i="4" s="1"/>
  <c r="AU2" i="4" l="1"/>
  <c r="AR38" i="4"/>
  <c r="AR27" i="4"/>
  <c r="AR4" i="4"/>
  <c r="AR36" i="4"/>
  <c r="AR29" i="4"/>
  <c r="AR10" i="4"/>
  <c r="AR42" i="4"/>
  <c r="AR15" i="4"/>
  <c r="AR31" i="4"/>
  <c r="AR8" i="4"/>
  <c r="AR24" i="4"/>
  <c r="AR40" i="4"/>
  <c r="AR17" i="4"/>
  <c r="AR33" i="4"/>
  <c r="AR14" i="4"/>
  <c r="AR30" i="4"/>
  <c r="AR3" i="4"/>
  <c r="AR19" i="4"/>
  <c r="AR35" i="4"/>
  <c r="AR12" i="4"/>
  <c r="AR28" i="4"/>
  <c r="AR5" i="4"/>
  <c r="AR21" i="4"/>
  <c r="AR37" i="4"/>
  <c r="AR6" i="4"/>
  <c r="AR22" i="4"/>
  <c r="AR11" i="4"/>
  <c r="AR20" i="4"/>
  <c r="AR13" i="4"/>
  <c r="AR26" i="4"/>
  <c r="AR18" i="4"/>
  <c r="AR34" i="4"/>
  <c r="AR7" i="4"/>
  <c r="AR23" i="4"/>
  <c r="AR39" i="4"/>
  <c r="AR16" i="4"/>
  <c r="AR32" i="4"/>
  <c r="AR9" i="4"/>
  <c r="AR25" i="4"/>
  <c r="AR41" i="4"/>
  <c r="AP26" i="4"/>
  <c r="AQ26" i="4"/>
  <c r="AP31" i="4"/>
  <c r="AQ31" i="4"/>
  <c r="AP24" i="4"/>
  <c r="AQ24" i="4"/>
  <c r="AP17" i="4"/>
  <c r="AQ17" i="4"/>
  <c r="AP14" i="4"/>
  <c r="AQ14" i="4"/>
  <c r="AP3" i="4"/>
  <c r="AQ3" i="4"/>
  <c r="AP19" i="4"/>
  <c r="AQ19" i="4"/>
  <c r="AP28" i="4"/>
  <c r="AQ28" i="4"/>
  <c r="AP37" i="4"/>
  <c r="AQ37" i="4"/>
  <c r="AP18" i="4"/>
  <c r="AQ18" i="4"/>
  <c r="AP6" i="4"/>
  <c r="AQ6" i="4"/>
  <c r="AP22" i="4"/>
  <c r="AQ22" i="4"/>
  <c r="AP38" i="4"/>
  <c r="AQ38" i="4"/>
  <c r="AP11" i="4"/>
  <c r="AQ11" i="4"/>
  <c r="AP27" i="4"/>
  <c r="AQ27" i="4"/>
  <c r="AP4" i="4"/>
  <c r="AQ4" i="4"/>
  <c r="AP20" i="4"/>
  <c r="AQ20" i="4"/>
  <c r="AP36" i="4"/>
  <c r="AQ36" i="4"/>
  <c r="AP13" i="4"/>
  <c r="AQ13" i="4"/>
  <c r="AP29" i="4"/>
  <c r="AQ29" i="4"/>
  <c r="AP10" i="4"/>
  <c r="AQ10" i="4"/>
  <c r="AP42" i="4"/>
  <c r="AQ42" i="4"/>
  <c r="AP15" i="4"/>
  <c r="AQ15" i="4"/>
  <c r="AP8" i="4"/>
  <c r="AQ8" i="4"/>
  <c r="AP40" i="4"/>
  <c r="AQ40" i="4"/>
  <c r="AP33" i="4"/>
  <c r="AQ33" i="4"/>
  <c r="AP30" i="4"/>
  <c r="AQ30" i="4"/>
  <c r="AP35" i="4"/>
  <c r="AQ35" i="4"/>
  <c r="AP12" i="4"/>
  <c r="AQ12" i="4"/>
  <c r="AP5" i="4"/>
  <c r="AQ5" i="4"/>
  <c r="AP21" i="4"/>
  <c r="AQ21" i="4"/>
  <c r="AP34" i="4"/>
  <c r="AQ34" i="4"/>
  <c r="AP7" i="4"/>
  <c r="AQ7" i="4"/>
  <c r="AP23" i="4"/>
  <c r="AQ23" i="4"/>
  <c r="AP39" i="4"/>
  <c r="AQ39" i="4"/>
  <c r="AP16" i="4"/>
  <c r="AQ16" i="4"/>
  <c r="AP32" i="4"/>
  <c r="AQ32" i="4"/>
  <c r="AP9" i="4"/>
  <c r="AQ9" i="4"/>
  <c r="AP25" i="4"/>
  <c r="AQ25" i="4"/>
  <c r="AP41" i="4"/>
  <c r="AQ41" i="4"/>
  <c r="AN14" i="4"/>
  <c r="AO14" i="4"/>
  <c r="AN30" i="4"/>
  <c r="AO30" i="4"/>
  <c r="AN3" i="4"/>
  <c r="AO3" i="4"/>
  <c r="AN19" i="4"/>
  <c r="AO19" i="4"/>
  <c r="AN35" i="4"/>
  <c r="AO35" i="4"/>
  <c r="AN12" i="4"/>
  <c r="AO12" i="4"/>
  <c r="AN28" i="4"/>
  <c r="AO28" i="4"/>
  <c r="AN5" i="4"/>
  <c r="AO5" i="4"/>
  <c r="AN21" i="4"/>
  <c r="AO21" i="4"/>
  <c r="AN37" i="4"/>
  <c r="AO37" i="4"/>
  <c r="AN18" i="4"/>
  <c r="AO18" i="4"/>
  <c r="AN34" i="4"/>
  <c r="AO34" i="4"/>
  <c r="AN7" i="4"/>
  <c r="AO7" i="4"/>
  <c r="AN23" i="4"/>
  <c r="AO23" i="4"/>
  <c r="AN39" i="4"/>
  <c r="AO39" i="4"/>
  <c r="AN16" i="4"/>
  <c r="AO16" i="4"/>
  <c r="AN32" i="4"/>
  <c r="AO32" i="4"/>
  <c r="AN9" i="4"/>
  <c r="AO9" i="4"/>
  <c r="AN25" i="4"/>
  <c r="AO25" i="4"/>
  <c r="AN41" i="4"/>
  <c r="AO41" i="4"/>
  <c r="AN6" i="4"/>
  <c r="AO6" i="4"/>
  <c r="AN22" i="4"/>
  <c r="AO22" i="4"/>
  <c r="AN38" i="4"/>
  <c r="AO38" i="4"/>
  <c r="AN11" i="4"/>
  <c r="AO11" i="4"/>
  <c r="AN27" i="4"/>
  <c r="AO27" i="4"/>
  <c r="AN4" i="4"/>
  <c r="AO4" i="4"/>
  <c r="AN20" i="4"/>
  <c r="AO20" i="4"/>
  <c r="AN36" i="4"/>
  <c r="AO36" i="4"/>
  <c r="AN13" i="4"/>
  <c r="AO13" i="4"/>
  <c r="AN29" i="4"/>
  <c r="AO29" i="4"/>
  <c r="AN10" i="4"/>
  <c r="AO10" i="4"/>
  <c r="AN26" i="4"/>
  <c r="AO26" i="4"/>
  <c r="AN42" i="4"/>
  <c r="AO42" i="4"/>
  <c r="AN15" i="4"/>
  <c r="AO15" i="4"/>
  <c r="AN31" i="4"/>
  <c r="AO31" i="4"/>
  <c r="AN8" i="4"/>
  <c r="AO8" i="4"/>
  <c r="AN24" i="4"/>
  <c r="AO24" i="4"/>
  <c r="AN40" i="4"/>
  <c r="AO40" i="4"/>
  <c r="AN17" i="4"/>
  <c r="AO17" i="4"/>
  <c r="AN33" i="4"/>
  <c r="AO33" i="4"/>
  <c r="AL6" i="4"/>
  <c r="AM6" i="4"/>
  <c r="AL38" i="4"/>
  <c r="AM38" i="4"/>
  <c r="AL27" i="4"/>
  <c r="AM27" i="4"/>
  <c r="AL4" i="4"/>
  <c r="AM4" i="4"/>
  <c r="AL36" i="4"/>
  <c r="AM36" i="4"/>
  <c r="AL13" i="4"/>
  <c r="AM13" i="4"/>
  <c r="AL10" i="4"/>
  <c r="AM10" i="4"/>
  <c r="AL26" i="4"/>
  <c r="AM26" i="4"/>
  <c r="AL31" i="4"/>
  <c r="AM31" i="4"/>
  <c r="AL8" i="4"/>
  <c r="AM8" i="4"/>
  <c r="AL24" i="4"/>
  <c r="AM24" i="4"/>
  <c r="AL40" i="4"/>
  <c r="AM40" i="4"/>
  <c r="AL17" i="4"/>
  <c r="AM17" i="4"/>
  <c r="AL33" i="4"/>
  <c r="AM33" i="4"/>
  <c r="AL14" i="4"/>
  <c r="AM14" i="4"/>
  <c r="AL30" i="4"/>
  <c r="AM30" i="4"/>
  <c r="AL3" i="4"/>
  <c r="AM3" i="4"/>
  <c r="AL19" i="4"/>
  <c r="AM19" i="4"/>
  <c r="AL35" i="4"/>
  <c r="AM35" i="4"/>
  <c r="AL12" i="4"/>
  <c r="AM12" i="4"/>
  <c r="AL28" i="4"/>
  <c r="AM28" i="4"/>
  <c r="AL5" i="4"/>
  <c r="AM5" i="4"/>
  <c r="AL21" i="4"/>
  <c r="AM21" i="4"/>
  <c r="AL37" i="4"/>
  <c r="AM37" i="4"/>
  <c r="AL22" i="4"/>
  <c r="AM22" i="4"/>
  <c r="AL11" i="4"/>
  <c r="AM11" i="4"/>
  <c r="AL20" i="4"/>
  <c r="AM20" i="4"/>
  <c r="AL29" i="4"/>
  <c r="AM29" i="4"/>
  <c r="AL42" i="4"/>
  <c r="AM42" i="4"/>
  <c r="AL15" i="4"/>
  <c r="AM15" i="4"/>
  <c r="AL18" i="4"/>
  <c r="AM18" i="4"/>
  <c r="AL34" i="4"/>
  <c r="AM34" i="4"/>
  <c r="AL7" i="4"/>
  <c r="AM7" i="4"/>
  <c r="AL23" i="4"/>
  <c r="AM23" i="4"/>
  <c r="AL39" i="4"/>
  <c r="AM39" i="4"/>
  <c r="AL16" i="4"/>
  <c r="AM16" i="4"/>
  <c r="AL32" i="4"/>
  <c r="AM32" i="4"/>
  <c r="AL9" i="4"/>
  <c r="AM9" i="4"/>
  <c r="AL25" i="4"/>
  <c r="AM25" i="4"/>
  <c r="AL41" i="4"/>
  <c r="AM41" i="4"/>
  <c r="AK38" i="4"/>
  <c r="AK4" i="4"/>
  <c r="AK13" i="4"/>
  <c r="AK29" i="4"/>
  <c r="AK10" i="4"/>
  <c r="AK26" i="4"/>
  <c r="AK42" i="4"/>
  <c r="AK15" i="4"/>
  <c r="AK31" i="4"/>
  <c r="AK8" i="4"/>
  <c r="AK24" i="4"/>
  <c r="AK40" i="4"/>
  <c r="AK17" i="4"/>
  <c r="AK33" i="4"/>
  <c r="AK22" i="4"/>
  <c r="AK11" i="4"/>
  <c r="AK20" i="4"/>
  <c r="AK14" i="4"/>
  <c r="AK30" i="4"/>
  <c r="AK3" i="4"/>
  <c r="AK19" i="4"/>
  <c r="AK35" i="4"/>
  <c r="AK12" i="4"/>
  <c r="AK28" i="4"/>
  <c r="AK5" i="4"/>
  <c r="AK21" i="4"/>
  <c r="AK37" i="4"/>
  <c r="AK6" i="4"/>
  <c r="AK27" i="4"/>
  <c r="AK36" i="4"/>
  <c r="AK18" i="4"/>
  <c r="AK34" i="4"/>
  <c r="AK7" i="4"/>
  <c r="AK23" i="4"/>
  <c r="AK39" i="4"/>
  <c r="AK16" i="4"/>
  <c r="AK32" i="4"/>
  <c r="AK9" i="4"/>
  <c r="AK25" i="4"/>
  <c r="AK41" i="4"/>
  <c r="AL2" i="4"/>
  <c r="AP2" i="4"/>
  <c r="AM2" i="4"/>
  <c r="AQ2" i="4"/>
  <c r="AN2" i="4"/>
  <c r="AR2" i="4"/>
  <c r="AO2" i="4"/>
  <c r="AJ38" i="4"/>
  <c r="AJ27" i="4"/>
  <c r="AJ20" i="4"/>
  <c r="AJ13" i="4"/>
  <c r="AJ29" i="4"/>
  <c r="AJ10" i="4"/>
  <c r="AJ42" i="4"/>
  <c r="AJ15" i="4"/>
  <c r="AJ8" i="4"/>
  <c r="AJ40" i="4"/>
  <c r="AJ17" i="4"/>
  <c r="AJ33" i="4"/>
  <c r="AJ14" i="4"/>
  <c r="AJ30" i="4"/>
  <c r="AJ3" i="4"/>
  <c r="AJ19" i="4"/>
  <c r="AJ35" i="4"/>
  <c r="AJ12" i="4"/>
  <c r="AJ28" i="4"/>
  <c r="AJ5" i="4"/>
  <c r="AJ21" i="4"/>
  <c r="AJ37" i="4"/>
  <c r="AJ6" i="4"/>
  <c r="AJ22" i="4"/>
  <c r="AJ11" i="4"/>
  <c r="AJ4" i="4"/>
  <c r="AJ36" i="4"/>
  <c r="AJ26" i="4"/>
  <c r="AJ31" i="4"/>
  <c r="AJ24" i="4"/>
  <c r="AJ2" i="4"/>
  <c r="AK2" i="4"/>
  <c r="AJ18" i="4"/>
  <c r="AJ34" i="4"/>
  <c r="AJ7" i="4"/>
  <c r="AJ23" i="4"/>
  <c r="AJ39" i="4"/>
  <c r="AJ16" i="4"/>
  <c r="AJ32" i="4"/>
  <c r="AJ9" i="4"/>
  <c r="AJ25" i="4"/>
  <c r="AJ41" i="4"/>
  <c r="AH10" i="4"/>
  <c r="AH26" i="4"/>
  <c r="AH42" i="4"/>
  <c r="AH15" i="4"/>
  <c r="AH31" i="4"/>
  <c r="AH8" i="4"/>
  <c r="AH24" i="4"/>
  <c r="AH40" i="4"/>
  <c r="AH17" i="4"/>
  <c r="AH33" i="4"/>
  <c r="AH14" i="4"/>
  <c r="AH30" i="4"/>
  <c r="AH3" i="4"/>
  <c r="AH19" i="4"/>
  <c r="AH35" i="4"/>
  <c r="AH12" i="4"/>
  <c r="AH28" i="4"/>
  <c r="AH5" i="4"/>
  <c r="AH21" i="4"/>
  <c r="AH37" i="4"/>
  <c r="AH18" i="4"/>
  <c r="AH34" i="4"/>
  <c r="AH7" i="4"/>
  <c r="AH23" i="4"/>
  <c r="AH39" i="4"/>
  <c r="AH16" i="4"/>
  <c r="AH32" i="4"/>
  <c r="AH9" i="4"/>
  <c r="AH25" i="4"/>
  <c r="AH41" i="4"/>
  <c r="AH6" i="4"/>
  <c r="AH22" i="4"/>
  <c r="AH38" i="4"/>
  <c r="AH11" i="4"/>
  <c r="AH27" i="4"/>
  <c r="AH4" i="4"/>
  <c r="AH20" i="4"/>
  <c r="AH36" i="4"/>
  <c r="AH13" i="4"/>
  <c r="AH29" i="4"/>
  <c r="AG10" i="4"/>
  <c r="AG26" i="4"/>
  <c r="AG42" i="4"/>
  <c r="AG15" i="4"/>
  <c r="AG31" i="4"/>
  <c r="AG8" i="4"/>
  <c r="AG24" i="4"/>
  <c r="AG40" i="4"/>
  <c r="AG17" i="4"/>
  <c r="AG33" i="4"/>
  <c r="AG14" i="4"/>
  <c r="AG30" i="4"/>
  <c r="AG3" i="4"/>
  <c r="AG19" i="4"/>
  <c r="AG35" i="4"/>
  <c r="AG12" i="4"/>
  <c r="AG28" i="4"/>
  <c r="AG5" i="4"/>
  <c r="AG21" i="4"/>
  <c r="AG37" i="4"/>
  <c r="AG2" i="4"/>
  <c r="AH2" i="4"/>
  <c r="AG18" i="4"/>
  <c r="AG34" i="4"/>
  <c r="AG7" i="4"/>
  <c r="AG23" i="4"/>
  <c r="AG39" i="4"/>
  <c r="AG16" i="4"/>
  <c r="AG32" i="4"/>
  <c r="AG9" i="4"/>
  <c r="AG25" i="4"/>
  <c r="AG41" i="4"/>
  <c r="AG6" i="4"/>
  <c r="AG22" i="4"/>
  <c r="AG38" i="4"/>
  <c r="AG11" i="4"/>
  <c r="AG27" i="4"/>
  <c r="AG4" i="4"/>
  <c r="AG20" i="4"/>
  <c r="AG36" i="4"/>
  <c r="AG13" i="4"/>
  <c r="AG29" i="4"/>
  <c r="AS3" i="4" l="1"/>
  <c r="AS41" i="4"/>
  <c r="AS16" i="4"/>
  <c r="AS34" i="4"/>
  <c r="AS11" i="4"/>
  <c r="AS21" i="4"/>
  <c r="AS9" i="4"/>
  <c r="AS4" i="4"/>
  <c r="AS23" i="4"/>
  <c r="AS35" i="4"/>
  <c r="AS14" i="4"/>
  <c r="AS10" i="4"/>
  <c r="AS32" i="4"/>
  <c r="AS7" i="4"/>
  <c r="AS27" i="4"/>
  <c r="AS6" i="4"/>
  <c r="AS28" i="4"/>
  <c r="AS40" i="4"/>
  <c r="AS15" i="4"/>
  <c r="AS29" i="4"/>
  <c r="AS5" i="4"/>
  <c r="AS19" i="4"/>
  <c r="AS33" i="4"/>
  <c r="AS8" i="4"/>
  <c r="AS26" i="4"/>
  <c r="AS36" i="4"/>
  <c r="AS20" i="4"/>
  <c r="AS25" i="4"/>
  <c r="AS39" i="4"/>
  <c r="AS18" i="4"/>
  <c r="AS37" i="4"/>
  <c r="AS12" i="4"/>
  <c r="AS30" i="4"/>
  <c r="AS22" i="4"/>
  <c r="AS24" i="4"/>
  <c r="AS42" i="4"/>
  <c r="AS13" i="4"/>
  <c r="AS38" i="4"/>
  <c r="AS17" i="4"/>
  <c r="AS31" i="4"/>
  <c r="AS2" i="4"/>
  <c r="C19" i="15" l="1"/>
</calcChain>
</file>

<file path=xl/sharedStrings.xml><?xml version="1.0" encoding="utf-8"?>
<sst xmlns="http://schemas.openxmlformats.org/spreadsheetml/2006/main" count="995" uniqueCount="443">
  <si>
    <t>Matricule</t>
  </si>
  <si>
    <t>Nom</t>
  </si>
  <si>
    <t>Prénom</t>
  </si>
  <si>
    <t>Date de Naissance</t>
  </si>
  <si>
    <t>AGE</t>
  </si>
  <si>
    <t>Tranche d'âge</t>
  </si>
  <si>
    <t>Sexe</t>
  </si>
  <si>
    <t>Catégorie</t>
  </si>
  <si>
    <t>Département</t>
  </si>
  <si>
    <t>Contrat</t>
  </si>
  <si>
    <t>Date Embauche</t>
  </si>
  <si>
    <t>Anciennete</t>
  </si>
  <si>
    <t>Tranche Ancienneté</t>
  </si>
  <si>
    <t>AA-001</t>
  </si>
  <si>
    <t>MOI</t>
  </si>
  <si>
    <t>Homme</t>
  </si>
  <si>
    <t>Responsable</t>
  </si>
  <si>
    <t>Finance</t>
  </si>
  <si>
    <t>CDI</t>
  </si>
  <si>
    <t>AA-002</t>
  </si>
  <si>
    <t>Méthode</t>
  </si>
  <si>
    <t>AA-003</t>
  </si>
  <si>
    <t>MOD</t>
  </si>
  <si>
    <t>Femme</t>
  </si>
  <si>
    <t>Opérateur</t>
  </si>
  <si>
    <t>Production</t>
  </si>
  <si>
    <t>AA-004</t>
  </si>
  <si>
    <t>AA-005</t>
  </si>
  <si>
    <t>AA-006</t>
  </si>
  <si>
    <t>AA-007</t>
  </si>
  <si>
    <t>AA-008</t>
  </si>
  <si>
    <t>AA-009</t>
  </si>
  <si>
    <t>Cadre</t>
  </si>
  <si>
    <t>Qualité</t>
  </si>
  <si>
    <t>AA-010</t>
  </si>
  <si>
    <t>Employé</t>
  </si>
  <si>
    <t>Rh</t>
  </si>
  <si>
    <t>AA-011</t>
  </si>
  <si>
    <t>AA-012</t>
  </si>
  <si>
    <t>AA-013</t>
  </si>
  <si>
    <t>CSP</t>
  </si>
  <si>
    <t>AA-014</t>
  </si>
  <si>
    <t>Manager</t>
  </si>
  <si>
    <t>Commercial</t>
  </si>
  <si>
    <t>AA-015</t>
  </si>
  <si>
    <t>AA-016</t>
  </si>
  <si>
    <t>AA-017</t>
  </si>
  <si>
    <t>AA-018</t>
  </si>
  <si>
    <t>Direction</t>
  </si>
  <si>
    <t>AA-019</t>
  </si>
  <si>
    <t>Achat</t>
  </si>
  <si>
    <t>AA-020</t>
  </si>
  <si>
    <t>IT</t>
  </si>
  <si>
    <t>AA-021</t>
  </si>
  <si>
    <t>Supply chain</t>
  </si>
  <si>
    <t>AA-022</t>
  </si>
  <si>
    <t>AA-023</t>
  </si>
  <si>
    <t>AA-024</t>
  </si>
  <si>
    <t>AA-025</t>
  </si>
  <si>
    <t>CDD</t>
  </si>
  <si>
    <t>AA-026</t>
  </si>
  <si>
    <t>AA-027</t>
  </si>
  <si>
    <t>INTERIM</t>
  </si>
  <si>
    <t>AA-028</t>
  </si>
  <si>
    <t>AA-029</t>
  </si>
  <si>
    <t>AA-030</t>
  </si>
  <si>
    <t>AA-031</t>
  </si>
  <si>
    <t>AA-032</t>
  </si>
  <si>
    <t>AA-033</t>
  </si>
  <si>
    <t>AA-034</t>
  </si>
  <si>
    <t>AA-035</t>
  </si>
  <si>
    <t>Technicien</t>
  </si>
  <si>
    <t>AA-036</t>
  </si>
  <si>
    <t>AA-037</t>
  </si>
  <si>
    <t>AA-038</t>
  </si>
  <si>
    <t>AA-039</t>
  </si>
  <si>
    <t>AA-040</t>
  </si>
  <si>
    <t>AA-041</t>
  </si>
  <si>
    <t>Laure</t>
  </si>
  <si>
    <t>Sarah</t>
  </si>
  <si>
    <t>Niang</t>
  </si>
  <si>
    <t>Amadou</t>
  </si>
  <si>
    <t>Diaw</t>
  </si>
  <si>
    <t xml:space="preserve">Awa </t>
  </si>
  <si>
    <t>Niass</t>
  </si>
  <si>
    <t>Ahmadou</t>
  </si>
  <si>
    <t>Ngoumtsa</t>
  </si>
  <si>
    <t>Célina</t>
  </si>
  <si>
    <t>Dieng</t>
  </si>
  <si>
    <t xml:space="preserve">Samba </t>
  </si>
  <si>
    <t>Kane</t>
  </si>
  <si>
    <t>Salam</t>
  </si>
  <si>
    <t>Diakhaté</t>
  </si>
  <si>
    <t xml:space="preserve">Khadidiatou </t>
  </si>
  <si>
    <t>Bousso</t>
  </si>
  <si>
    <t>Mame Balla</t>
  </si>
  <si>
    <t>Sène</t>
  </si>
  <si>
    <t xml:space="preserve">Malick </t>
  </si>
  <si>
    <t>Ndong</t>
  </si>
  <si>
    <t xml:space="preserve">Tamsir </t>
  </si>
  <si>
    <t>De La Flèche</t>
  </si>
  <si>
    <t>Jeanne</t>
  </si>
  <si>
    <t>Faye</t>
  </si>
  <si>
    <t xml:space="preserve">Ameth </t>
  </si>
  <si>
    <t>Edima</t>
  </si>
  <si>
    <t>Hildegarde</t>
  </si>
  <si>
    <t>Emilson</t>
  </si>
  <si>
    <t>Ange</t>
  </si>
  <si>
    <t>Coulibaly</t>
  </si>
  <si>
    <t>Diallo</t>
  </si>
  <si>
    <t>Mamadou</t>
  </si>
  <si>
    <t>Tall</t>
  </si>
  <si>
    <t xml:space="preserve">Fatimata </t>
  </si>
  <si>
    <t>Ouedraogo</t>
  </si>
  <si>
    <t>Faical</t>
  </si>
  <si>
    <t>Fa lo</t>
  </si>
  <si>
    <t>Ibrahima</t>
  </si>
  <si>
    <t>Firhoun</t>
  </si>
  <si>
    <t>Ahmed</t>
  </si>
  <si>
    <t>Ba</t>
  </si>
  <si>
    <t>Baba</t>
  </si>
  <si>
    <t>Dème</t>
  </si>
  <si>
    <t>Safiétou</t>
  </si>
  <si>
    <t>Ndiaye</t>
  </si>
  <si>
    <t>Mame Thierno</t>
  </si>
  <si>
    <t>Compaoré</t>
  </si>
  <si>
    <t>Bassirou</t>
  </si>
  <si>
    <t>Diop</t>
  </si>
  <si>
    <t>Ousseynou</t>
  </si>
  <si>
    <t>Zaongo</t>
  </si>
  <si>
    <t xml:space="preserve">Inoussa </t>
  </si>
  <si>
    <t>Farouk</t>
  </si>
  <si>
    <t xml:space="preserve">Oumar </t>
  </si>
  <si>
    <t>Thiam</t>
  </si>
  <si>
    <t>Omar</t>
  </si>
  <si>
    <t>Konlambigue</t>
  </si>
  <si>
    <t>Yamin</t>
  </si>
  <si>
    <t>Kpakou</t>
  </si>
  <si>
    <t>Mouméné</t>
  </si>
  <si>
    <t>Mbaye</t>
  </si>
  <si>
    <t>Ababacar</t>
  </si>
  <si>
    <t>Aude</t>
  </si>
  <si>
    <t>Sandra</t>
  </si>
  <si>
    <t>Dramé</t>
  </si>
  <si>
    <t xml:space="preserve">Sékou </t>
  </si>
  <si>
    <t>Dassy</t>
  </si>
  <si>
    <t>Fall</t>
  </si>
  <si>
    <t>Kossa</t>
  </si>
  <si>
    <t>Camara</t>
  </si>
  <si>
    <t>Birahim</t>
  </si>
  <si>
    <t>Adiouma</t>
  </si>
  <si>
    <t>Diagne</t>
  </si>
  <si>
    <t>Pathé</t>
  </si>
  <si>
    <t>Gning</t>
  </si>
  <si>
    <t>Salaire mensuelle</t>
  </si>
  <si>
    <t>Salaire Horaire</t>
  </si>
  <si>
    <t>ADRESSE</t>
  </si>
  <si>
    <t>Numero CIN</t>
  </si>
  <si>
    <t>SITUATION MATRIMONIALE</t>
  </si>
  <si>
    <t>Nombre d'enfants</t>
  </si>
  <si>
    <t>Numéro téléphone domicile</t>
  </si>
  <si>
    <t>MAIL</t>
  </si>
  <si>
    <t>Lieu de Naissance</t>
  </si>
  <si>
    <t>Code Postal</t>
  </si>
  <si>
    <t>Régime horaire</t>
  </si>
  <si>
    <t>Mode de paiement</t>
  </si>
  <si>
    <t xml:space="preserve">Banque </t>
  </si>
  <si>
    <t>Numero Carte banquaire</t>
  </si>
  <si>
    <t>Date Fin Contrat</t>
  </si>
  <si>
    <t>5355199301660</t>
  </si>
  <si>
    <t>mariée</t>
  </si>
  <si>
    <t>769184292</t>
  </si>
  <si>
    <t>SarahLaure@gmail.com</t>
  </si>
  <si>
    <t>Dakar</t>
  </si>
  <si>
    <t>temps plein</t>
  </si>
  <si>
    <t>Paiement par virement</t>
  </si>
  <si>
    <t>SGBS</t>
  </si>
  <si>
    <t>769184292158</t>
  </si>
  <si>
    <t>4860199101660</t>
  </si>
  <si>
    <t>célibataire</t>
  </si>
  <si>
    <t>773549545</t>
  </si>
  <si>
    <t>AmadouNiang@gmail.com</t>
  </si>
  <si>
    <t>Thiès</t>
  </si>
  <si>
    <t>temps partiel</t>
  </si>
  <si>
    <t>Paiement par cash</t>
  </si>
  <si>
    <t>BOA</t>
  </si>
  <si>
    <t>773549545158</t>
  </si>
  <si>
    <t>9262199501660</t>
  </si>
  <si>
    <t>767010846</t>
  </si>
  <si>
    <t>Awa Diaw@gmail.com</t>
  </si>
  <si>
    <t>BICIS</t>
  </si>
  <si>
    <t>767010846157</t>
  </si>
  <si>
    <t>1039199501660</t>
  </si>
  <si>
    <t>779253184</t>
  </si>
  <si>
    <t>AhmadouNiass@gmail.com</t>
  </si>
  <si>
    <t>Fatick</t>
  </si>
  <si>
    <t>779253184151</t>
  </si>
  <si>
    <t>4127198801660</t>
  </si>
  <si>
    <t>786422788</t>
  </si>
  <si>
    <t>CélinaNgoumtsa@gmail.com</t>
  </si>
  <si>
    <t>Saint-Louis</t>
  </si>
  <si>
    <t>786422788155</t>
  </si>
  <si>
    <t>4185199301660</t>
  </si>
  <si>
    <t>marié</t>
  </si>
  <si>
    <t>776414089</t>
  </si>
  <si>
    <t>Samba Dieng@gmail.com</t>
  </si>
  <si>
    <t>776414089159</t>
  </si>
  <si>
    <t>8337199601660</t>
  </si>
  <si>
    <t>763970714</t>
  </si>
  <si>
    <t>SalamKane@gmail.com</t>
  </si>
  <si>
    <t>kolda</t>
  </si>
  <si>
    <t>763970714151</t>
  </si>
  <si>
    <t>2787199901660</t>
  </si>
  <si>
    <t>784662657</t>
  </si>
  <si>
    <t>Khadidiatou Diakhaté@gmail.com</t>
  </si>
  <si>
    <t>784662657154</t>
  </si>
  <si>
    <t>9362198901660</t>
  </si>
  <si>
    <t>761630561</t>
  </si>
  <si>
    <t>Mame BallaBousso@gmail.com</t>
  </si>
  <si>
    <t>Diourbel</t>
  </si>
  <si>
    <t>761630561151</t>
  </si>
  <si>
    <t>1952199301660</t>
  </si>
  <si>
    <t>769379747</t>
  </si>
  <si>
    <t>Malick Sène@gmail.com</t>
  </si>
  <si>
    <t>Tambacounda</t>
  </si>
  <si>
    <t>769379747158</t>
  </si>
  <si>
    <t>6877199101660</t>
  </si>
  <si>
    <t>788518261</t>
  </si>
  <si>
    <t>Tamsir Ndong@gmail.com</t>
  </si>
  <si>
    <t>788518261154</t>
  </si>
  <si>
    <t>7577199501660</t>
  </si>
  <si>
    <t>771469363</t>
  </si>
  <si>
    <t>JeanneDe La Flèche@gmail.com</t>
  </si>
  <si>
    <t>771469363158</t>
  </si>
  <si>
    <t>9534199501660</t>
  </si>
  <si>
    <t>771041879</t>
  </si>
  <si>
    <t>Ameth Faye@gmail.com</t>
  </si>
  <si>
    <t>771041879153</t>
  </si>
  <si>
    <t>5232198801660</t>
  </si>
  <si>
    <t>765451988</t>
  </si>
  <si>
    <t>HildegardeEdima@gmail.com</t>
  </si>
  <si>
    <t>765451988156</t>
  </si>
  <si>
    <t>3534199301660</t>
  </si>
  <si>
    <t>765593172</t>
  </si>
  <si>
    <t>AngeEmilson@gmail.com</t>
  </si>
  <si>
    <t>765593172159</t>
  </si>
  <si>
    <t>9741199601660</t>
  </si>
  <si>
    <t>789957175</t>
  </si>
  <si>
    <t>Khadidiatou Coulibaly@gmail.com</t>
  </si>
  <si>
    <t>789957175159</t>
  </si>
  <si>
    <t>8031199901660</t>
  </si>
  <si>
    <t>766322523</t>
  </si>
  <si>
    <t>MamadouDiallo@gmail.com</t>
  </si>
  <si>
    <t>766322523157</t>
  </si>
  <si>
    <t>5315198901660</t>
  </si>
  <si>
    <t>766991844</t>
  </si>
  <si>
    <t>Fatimata Tall@gmail.com</t>
  </si>
  <si>
    <t>766991844159</t>
  </si>
  <si>
    <t>6062199301660</t>
  </si>
  <si>
    <t>773638382</t>
  </si>
  <si>
    <t>FaicalOuedraogo@gmail.com</t>
  </si>
  <si>
    <t>773638382159</t>
  </si>
  <si>
    <t>9717199101660</t>
  </si>
  <si>
    <t>769626899</t>
  </si>
  <si>
    <t>IbrahimaFa lo@gmail.com</t>
  </si>
  <si>
    <t>769626899150</t>
  </si>
  <si>
    <t>2723199501660</t>
  </si>
  <si>
    <t>784273375</t>
  </si>
  <si>
    <t>AhmedFirhoun@gmail.com</t>
  </si>
  <si>
    <t>784273375150</t>
  </si>
  <si>
    <t>9721199501660</t>
  </si>
  <si>
    <t>761734378</t>
  </si>
  <si>
    <t>BabaBa@gmail.com</t>
  </si>
  <si>
    <t>761734378154</t>
  </si>
  <si>
    <t>4036198801660</t>
  </si>
  <si>
    <t>763011293</t>
  </si>
  <si>
    <t>SafiétouDème@gmail.com</t>
  </si>
  <si>
    <t>Sédhiou</t>
  </si>
  <si>
    <t>763011293155</t>
  </si>
  <si>
    <t>4758199301660</t>
  </si>
  <si>
    <t>778065693</t>
  </si>
  <si>
    <t>Mame ThiernoNdiaye@gmail.com</t>
  </si>
  <si>
    <t>778065693150</t>
  </si>
  <si>
    <t>8829199601660</t>
  </si>
  <si>
    <t>784129563</t>
  </si>
  <si>
    <t>BassirouCompaoré@gmail.com</t>
  </si>
  <si>
    <t>784129563158</t>
  </si>
  <si>
    <t>5545199901660</t>
  </si>
  <si>
    <t>777575788</t>
  </si>
  <si>
    <t>OusseynouDiop@gmail.com</t>
  </si>
  <si>
    <t>777575788151</t>
  </si>
  <si>
    <t>2054198901660</t>
  </si>
  <si>
    <t>762458485</t>
  </si>
  <si>
    <t>Inoussa Zaongo@gmail.com</t>
  </si>
  <si>
    <t>762458485157</t>
  </si>
  <si>
    <t>4716199301660</t>
  </si>
  <si>
    <t>773763106</t>
  </si>
  <si>
    <t>Oumar Farouk@gmail.com</t>
  </si>
  <si>
    <t>773763106151</t>
  </si>
  <si>
    <t>6959199101660</t>
  </si>
  <si>
    <t>763791904</t>
  </si>
  <si>
    <t>OmarThiam@gmail.com</t>
  </si>
  <si>
    <t>Louga</t>
  </si>
  <si>
    <t>763791904159</t>
  </si>
  <si>
    <t>8427199501660</t>
  </si>
  <si>
    <t>781805305</t>
  </si>
  <si>
    <t>YaminKonlambigue@gmail.com</t>
  </si>
  <si>
    <t>781805305156</t>
  </si>
  <si>
    <t>4726199501660</t>
  </si>
  <si>
    <t>784986925</t>
  </si>
  <si>
    <t>MouménéKpakou@gmail.com</t>
  </si>
  <si>
    <t>784986925150</t>
  </si>
  <si>
    <t>1876198801660</t>
  </si>
  <si>
    <t>785537574</t>
  </si>
  <si>
    <t>AbabacarMbaye@gmail.com</t>
  </si>
  <si>
    <t>785537574159</t>
  </si>
  <si>
    <t>4783199301660</t>
  </si>
  <si>
    <t>778640192</t>
  </si>
  <si>
    <t>SandraAude@gmail.com</t>
  </si>
  <si>
    <t>778640192155</t>
  </si>
  <si>
    <t>4228199601660</t>
  </si>
  <si>
    <t>769747952</t>
  </si>
  <si>
    <t>Sékou Dramé@gmail.com</t>
  </si>
  <si>
    <t>769747952154</t>
  </si>
  <si>
    <t>5183199901660</t>
  </si>
  <si>
    <t>775335359</t>
  </si>
  <si>
    <t>AngeDassy@gmail.com</t>
  </si>
  <si>
    <t>775335359158</t>
  </si>
  <si>
    <t>6823198901660</t>
  </si>
  <si>
    <t>775704664</t>
  </si>
  <si>
    <t>KossaFall@gmail.com</t>
  </si>
  <si>
    <t>775704664159</t>
  </si>
  <si>
    <t>1184199301660</t>
  </si>
  <si>
    <t>771626370</t>
  </si>
  <si>
    <t>BirahimCamara@gmail.com</t>
  </si>
  <si>
    <t>771626370155</t>
  </si>
  <si>
    <t>2890199101660</t>
  </si>
  <si>
    <t>769122378</t>
  </si>
  <si>
    <t>769122378158</t>
  </si>
  <si>
    <t>6418199501660</t>
  </si>
  <si>
    <t>763549933</t>
  </si>
  <si>
    <t>AdioumaNdiaye@gmail.com</t>
  </si>
  <si>
    <t>763549933156</t>
  </si>
  <si>
    <t>9138199801660</t>
  </si>
  <si>
    <t>762104760</t>
  </si>
  <si>
    <t>PathéDiagne@gmail.com</t>
  </si>
  <si>
    <t>762104760150</t>
  </si>
  <si>
    <t>2319199801660</t>
  </si>
  <si>
    <t>764832748</t>
  </si>
  <si>
    <t>IbrahimaGning@gmail.com</t>
  </si>
  <si>
    <t>764832748156</t>
  </si>
  <si>
    <t>Qualification</t>
  </si>
  <si>
    <t>NOM</t>
  </si>
  <si>
    <t>DATE</t>
  </si>
  <si>
    <t>HEURE SUP</t>
  </si>
  <si>
    <t>12heures</t>
  </si>
  <si>
    <t>45heures</t>
  </si>
  <si>
    <t>16/01/2024</t>
  </si>
  <si>
    <t xml:space="preserve">Matricle </t>
  </si>
  <si>
    <t>PRENOM</t>
  </si>
  <si>
    <t>SEXE</t>
  </si>
  <si>
    <t>CATEGORIE</t>
  </si>
  <si>
    <t>Situation matrimoniale</t>
  </si>
  <si>
    <t xml:space="preserve">BANQUE </t>
  </si>
  <si>
    <t>Type de contrat</t>
  </si>
  <si>
    <t>qualification</t>
  </si>
  <si>
    <t>Grade</t>
  </si>
  <si>
    <t>15/02/2023</t>
  </si>
  <si>
    <t>5heures</t>
  </si>
  <si>
    <t>18/01/2022</t>
  </si>
  <si>
    <t xml:space="preserve">Matricule </t>
  </si>
  <si>
    <t>NBR ABS</t>
  </si>
  <si>
    <t>Date</t>
  </si>
  <si>
    <t>Date DEBUT</t>
  </si>
  <si>
    <t>Date FIN</t>
  </si>
  <si>
    <t>Heure sup</t>
  </si>
  <si>
    <t>Absence</t>
  </si>
  <si>
    <t>Montant Avance</t>
  </si>
  <si>
    <t>MONTANT AVANCES</t>
  </si>
  <si>
    <t>21/01/2023</t>
  </si>
  <si>
    <t>15heures</t>
  </si>
  <si>
    <t>31/01/2023</t>
  </si>
  <si>
    <t>18/01/2023</t>
  </si>
  <si>
    <t>26/01/2023</t>
  </si>
  <si>
    <t>22/01/2023</t>
  </si>
  <si>
    <t>MATRICULE</t>
  </si>
  <si>
    <t>INDEMNITES DE TRANSPORT</t>
  </si>
  <si>
    <t>INDEMNITES DE REPAS</t>
  </si>
  <si>
    <t>INDEMNITES DE RISQUE</t>
  </si>
  <si>
    <t>PRIMES DE LOGEMENT</t>
  </si>
  <si>
    <t>PRIMES D'ETUDES ET DE FORMATION</t>
  </si>
  <si>
    <t>PRIMES CONGES SPECIAUX</t>
  </si>
  <si>
    <t>PRIMES ET INDEMNITES</t>
  </si>
  <si>
    <t>MONTANT MENSUEL</t>
  </si>
  <si>
    <t>Column1</t>
  </si>
  <si>
    <t>OUI</t>
  </si>
  <si>
    <t>NON</t>
  </si>
  <si>
    <t>IDEMNITE PRIME</t>
  </si>
  <si>
    <t>salaire horaire</t>
  </si>
  <si>
    <t>SALAIRE HORAIRE DEFALQUE ABSENCE</t>
  </si>
  <si>
    <t>SALAIRE BRUT</t>
  </si>
  <si>
    <t>SALAIRE BRUT DEFALQUE AVANCE</t>
  </si>
  <si>
    <t>SALAIRE HEURE SUP</t>
  </si>
  <si>
    <t>CSG</t>
  </si>
  <si>
    <t>CRDS</t>
  </si>
  <si>
    <t>ASSURANCE</t>
  </si>
  <si>
    <t>ALLOCATIONS FAMILIALES</t>
  </si>
  <si>
    <t>AIDE AU LOGEMENT</t>
  </si>
  <si>
    <t>IMPOT SUR LE REVENU</t>
  </si>
  <si>
    <t>SECURITE SOCIALE</t>
  </si>
  <si>
    <t>CIPRES</t>
  </si>
  <si>
    <t>SALAIRE NET</t>
  </si>
  <si>
    <t>Nom de la société</t>
  </si>
  <si>
    <t xml:space="preserve"> </t>
  </si>
  <si>
    <t xml:space="preserve"> Adresse, Code postal, Ville
 Téléphone [numéro] Télécopie [numéro]</t>
  </si>
  <si>
    <t>EMPLOYE</t>
  </si>
  <si>
    <t>Banque</t>
  </si>
  <si>
    <t>MONTANT</t>
  </si>
  <si>
    <t>Taux d'imposition</t>
  </si>
  <si>
    <t>NET A PAYER</t>
  </si>
  <si>
    <t>Veuillez libeller tous les chèques au Nom de la société</t>
  </si>
  <si>
    <t>Pour toute question concernant ce bulletin, utilisez les informations de contact :</t>
  </si>
  <si>
    <t>Nom, numéro de téléphone, e-mail du contact</t>
  </si>
  <si>
    <t>NOUS VOUS REMERCIONS DE VOTRE CONFIANCE.</t>
  </si>
  <si>
    <t>BULLETIN DE SALAIRE</t>
  </si>
  <si>
    <t>Salaire brut</t>
  </si>
  <si>
    <t>RETENUS</t>
  </si>
  <si>
    <t>IDEMNITES ET PRIMES</t>
  </si>
  <si>
    <t>SALAIRE HEURES SUPPLEMENTAIRES</t>
  </si>
  <si>
    <t>MONTANT AVANCE</t>
  </si>
  <si>
    <t>RETENUS RETARDS ET ABSENCES</t>
  </si>
  <si>
    <t>SALAIRE HORAIRE</t>
  </si>
  <si>
    <t xml:space="preserve">COMPOSANTES SALARIALES </t>
  </si>
  <si>
    <t>MATRICULE : AA-030</t>
  </si>
  <si>
    <t>Yamin  Konlambigue</t>
  </si>
  <si>
    <t>Count of Matricule</t>
  </si>
  <si>
    <t>Row Labels</t>
  </si>
  <si>
    <t>Grand Total</t>
  </si>
  <si>
    <t>2019</t>
  </si>
  <si>
    <t>2021</t>
  </si>
  <si>
    <t>2022</t>
  </si>
  <si>
    <t>2023</t>
  </si>
  <si>
    <t>Average of SALAIRE BRUT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</si>
</sst>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 &quot;€&quot;"/>
    <numFmt numFmtId="165" formatCode="#,##0\ &quot;CFA&quot;"/>
    <numFmt numFmtId="166" formatCode="#,##0.00\ &quot;CFA&quot;"/>
  </numFmts>
  <fonts count="21" x14ac:knownFonts="1">
    <font>
      <sz val="11"/>
      <color theme="1"/>
      <name val="Aptos Narrow"/>
      <family val="2"/>
      <scheme val="minor"/>
    </font>
    <font>
      <b/>
      <sz val="11"/>
      <color theme="1"/>
      <name val="Aptos Narrow"/>
      <family val="2"/>
      <scheme val="minor"/>
    </font>
    <font>
      <sz val="11"/>
      <color theme="0"/>
      <name val="Aptos Narrow"/>
      <family val="2"/>
      <scheme val="minor"/>
    </font>
    <font>
      <sz val="8"/>
      <name val="Aptos Narrow"/>
      <family val="2"/>
      <scheme val="minor"/>
    </font>
    <font>
      <b/>
      <sz val="28"/>
      <color theme="1"/>
      <name val="Aptos Display"/>
      <family val="2"/>
      <scheme val="major"/>
    </font>
    <font>
      <b/>
      <sz val="14"/>
      <color theme="1"/>
      <name val="Aptos Narrow"/>
      <family val="2"/>
      <scheme val="minor"/>
    </font>
    <font>
      <sz val="11"/>
      <color theme="4" tint="-0.249977111117893"/>
      <name val="Aptos Narrow"/>
      <family val="2"/>
      <scheme val="minor"/>
    </font>
    <font>
      <sz val="12"/>
      <color theme="4" tint="-0.249977111117893"/>
      <name val="Aptos Narrow"/>
      <family val="2"/>
      <scheme val="minor"/>
    </font>
    <font>
      <sz val="12"/>
      <color theme="1"/>
      <name val="Aptos Narrow"/>
      <family val="2"/>
      <scheme val="minor"/>
    </font>
    <font>
      <b/>
      <sz val="11"/>
      <color rgb="FF808000"/>
      <name val="Aptos Narrow"/>
      <family val="2"/>
      <scheme val="minor"/>
    </font>
    <font>
      <b/>
      <sz val="14"/>
      <color theme="0"/>
      <name val="Aptos Narrow"/>
      <family val="2"/>
      <scheme val="minor"/>
    </font>
    <font>
      <b/>
      <sz val="16"/>
      <color theme="0"/>
      <name val="Aptos Narrow"/>
      <family val="2"/>
      <scheme val="minor"/>
    </font>
    <font>
      <sz val="14"/>
      <color rgb="FF808000"/>
      <name val="Aptos Narrow"/>
      <family val="2"/>
      <scheme val="minor"/>
    </font>
    <font>
      <sz val="11"/>
      <color rgb="FF808000"/>
      <name val="Aptos Narrow"/>
      <family val="2"/>
      <scheme val="minor"/>
    </font>
    <font>
      <sz val="11"/>
      <color rgb="FF808000"/>
      <name val="Arial"/>
      <family val="2"/>
    </font>
    <font>
      <sz val="11"/>
      <color theme="1"/>
      <name val="Arial"/>
      <family val="2"/>
    </font>
    <font>
      <b/>
      <sz val="11"/>
      <color theme="1"/>
      <name val="Aptos Display"/>
      <family val="2"/>
      <scheme val="major"/>
    </font>
    <font>
      <b/>
      <sz val="14"/>
      <color rgb="FF808000"/>
      <name val="Aptos Display"/>
      <family val="2"/>
      <scheme val="major"/>
    </font>
    <font>
      <b/>
      <sz val="11"/>
      <color rgb="FF868618"/>
      <name val="Aptos Narrow"/>
      <family val="2"/>
      <scheme val="minor"/>
    </font>
    <font>
      <b/>
      <sz val="16"/>
      <color theme="1"/>
      <name val="Aptos Narrow"/>
      <family val="2"/>
      <scheme val="minor"/>
    </font>
    <font>
      <b/>
      <sz val="36"/>
      <color theme="0"/>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
      <patternFill patternType="solid">
        <fgColor rgb="FFCCCC00"/>
        <bgColor indexed="64"/>
      </patternFill>
    </fill>
    <fill>
      <patternFill patternType="solid">
        <fgColor rgb="FFFBFDD3"/>
        <bgColor indexed="64"/>
      </patternFill>
    </fill>
    <fill>
      <patternFill patternType="solid">
        <fgColor theme="1" tint="0.3499862666707357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rgb="FF808000"/>
      </bottom>
      <diagonal/>
    </border>
    <border>
      <left style="thin">
        <color rgb="FF808000"/>
      </left>
      <right/>
      <top style="thin">
        <color rgb="FF808000"/>
      </top>
      <bottom style="thin">
        <color indexed="64"/>
      </bottom>
      <diagonal/>
    </border>
    <border>
      <left/>
      <right style="thin">
        <color rgb="FF808000"/>
      </right>
      <top style="thin">
        <color rgb="FF808000"/>
      </top>
      <bottom style="thin">
        <color indexed="64"/>
      </bottom>
      <diagonal/>
    </border>
  </borders>
  <cellStyleXfs count="1">
    <xf numFmtId="0" fontId="0" fillId="0" borderId="0"/>
  </cellStyleXfs>
  <cellXfs count="50">
    <xf numFmtId="0" fontId="0" fillId="0" borderId="0" xfId="0"/>
    <xf numFmtId="0" fontId="1" fillId="0" borderId="0" xfId="0" applyFont="1" applyAlignment="1">
      <alignment horizontal="lef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1" xfId="0" applyBorder="1"/>
    <xf numFmtId="0" fontId="0" fillId="2" borderId="1" xfId="0" applyFill="1" applyBorder="1"/>
    <xf numFmtId="0" fontId="2" fillId="0" borderId="1" xfId="0" applyFont="1" applyBorder="1"/>
    <xf numFmtId="0" fontId="0" fillId="2" borderId="2" xfId="0" applyFill="1" applyBorder="1"/>
    <xf numFmtId="2" fontId="0" fillId="0" borderId="0" xfId="0" applyNumberFormat="1" applyAlignment="1">
      <alignment horizontal="left" vertical="center"/>
    </xf>
    <xf numFmtId="14" fontId="0" fillId="0" borderId="0" xfId="0" applyNumberFormat="1"/>
    <xf numFmtId="0" fontId="0" fillId="0" borderId="3" xfId="0" applyBorder="1"/>
    <xf numFmtId="14" fontId="0" fillId="0" borderId="3" xfId="0" applyNumberFormat="1" applyBorder="1"/>
    <xf numFmtId="0" fontId="0" fillId="3" borderId="0" xfId="0" applyFill="1"/>
    <xf numFmtId="0" fontId="0" fillId="2" borderId="0" xfId="0" applyFill="1"/>
    <xf numFmtId="1" fontId="0" fillId="0" borderId="0" xfId="0" applyNumberFormat="1" applyAlignment="1">
      <alignment horizontal="left" vertical="center"/>
    </xf>
    <xf numFmtId="0" fontId="8" fillId="0" borderId="0" xfId="0" applyFont="1"/>
    <xf numFmtId="0" fontId="0" fillId="0" borderId="0" xfId="0" applyAlignment="1">
      <alignment vertical="top"/>
    </xf>
    <xf numFmtId="0" fontId="5" fillId="4" borderId="0" xfId="0" applyFont="1" applyFill="1" applyAlignment="1">
      <alignment horizontal="left" vertical="center" indent="2"/>
    </xf>
    <xf numFmtId="0" fontId="0" fillId="0" borderId="0" xfId="0" applyAlignment="1">
      <alignment vertical="center"/>
    </xf>
    <xf numFmtId="0" fontId="10" fillId="4" borderId="0" xfId="0" applyFont="1" applyFill="1" applyAlignment="1">
      <alignment horizontal="right" vertical="center" indent="2"/>
    </xf>
    <xf numFmtId="0" fontId="5" fillId="5" borderId="0" xfId="0" applyFont="1" applyFill="1" applyAlignment="1">
      <alignment horizontal="left" indent="2"/>
    </xf>
    <xf numFmtId="0" fontId="6" fillId="5" borderId="0" xfId="0" applyFont="1" applyFill="1" applyAlignment="1">
      <alignment horizontal="left" vertical="center" indent="2"/>
    </xf>
    <xf numFmtId="0" fontId="6" fillId="5" borderId="0" xfId="0" applyFont="1" applyFill="1" applyAlignment="1">
      <alignment horizontal="left" indent="2"/>
    </xf>
    <xf numFmtId="0" fontId="7" fillId="5" borderId="0" xfId="0" applyFont="1" applyFill="1" applyAlignment="1">
      <alignment horizontal="left" vertical="center" indent="2"/>
    </xf>
    <xf numFmtId="0" fontId="0" fillId="5" borderId="0" xfId="0" applyFill="1" applyAlignment="1">
      <alignment horizontal="left" indent="2"/>
    </xf>
    <xf numFmtId="0" fontId="0" fillId="5" borderId="0" xfId="0" applyFill="1" applyAlignment="1">
      <alignment horizontal="left" vertical="center" indent="2"/>
    </xf>
    <xf numFmtId="0" fontId="0" fillId="5" borderId="0" xfId="0" applyFill="1" applyAlignment="1">
      <alignment horizontal="left" vertical="top" indent="2"/>
    </xf>
    <xf numFmtId="0" fontId="1" fillId="5" borderId="0" xfId="0" applyFont="1" applyFill="1" applyAlignment="1">
      <alignment horizontal="right" vertical="center" indent="2"/>
    </xf>
    <xf numFmtId="10" fontId="9" fillId="5" borderId="0" xfId="0" applyNumberFormat="1" applyFont="1" applyFill="1" applyAlignment="1">
      <alignment horizontal="left" vertical="center" indent="2"/>
    </xf>
    <xf numFmtId="0" fontId="0" fillId="5" borderId="4" xfId="0" applyFill="1" applyBorder="1"/>
    <xf numFmtId="0" fontId="12" fillId="5" borderId="0" xfId="0" applyFont="1" applyFill="1" applyAlignment="1">
      <alignment horizontal="left"/>
    </xf>
    <xf numFmtId="0" fontId="13" fillId="5" borderId="0" xfId="0" applyFont="1" applyFill="1" applyAlignment="1">
      <alignment horizontal="left"/>
    </xf>
    <xf numFmtId="0" fontId="0" fillId="5" borderId="0" xfId="0" applyFill="1" applyAlignment="1">
      <alignment horizontal="left"/>
    </xf>
    <xf numFmtId="0" fontId="15" fillId="5" borderId="0" xfId="0" applyFont="1" applyFill="1" applyAlignment="1">
      <alignment horizontal="left"/>
    </xf>
    <xf numFmtId="0" fontId="14" fillId="5" borderId="0" xfId="0" applyFont="1" applyFill="1" applyAlignment="1">
      <alignment horizontal="centerContinuous"/>
    </xf>
    <xf numFmtId="0" fontId="17" fillId="5" borderId="0" xfId="0" applyFont="1" applyFill="1" applyAlignment="1">
      <alignment horizontal="centerContinuous"/>
    </xf>
    <xf numFmtId="165" fontId="0" fillId="5" borderId="0" xfId="0" applyNumberFormat="1" applyFill="1" applyAlignment="1">
      <alignment horizontal="left" vertical="center" indent="2"/>
    </xf>
    <xf numFmtId="165" fontId="1" fillId="5" borderId="0" xfId="0" applyNumberFormat="1" applyFont="1" applyFill="1" applyAlignment="1">
      <alignment horizontal="left" vertical="center" indent="2"/>
    </xf>
    <xf numFmtId="166" fontId="11" fillId="4" borderId="0" xfId="0" applyNumberFormat="1" applyFont="1" applyFill="1" applyAlignment="1">
      <alignment horizontal="left" vertical="center" indent="2"/>
    </xf>
    <xf numFmtId="164" fontId="18" fillId="5" borderId="0" xfId="0" applyNumberFormat="1" applyFont="1" applyFill="1" applyAlignment="1">
      <alignment horizontal="left" vertical="center" indent="2"/>
    </xf>
    <xf numFmtId="0" fontId="19" fillId="5" borderId="0" xfId="0" applyFont="1" applyFill="1" applyAlignment="1">
      <alignment horizontal="left" indent="2"/>
    </xf>
    <xf numFmtId="0" fontId="0" fillId="0" borderId="5" xfId="0" applyBorder="1"/>
    <xf numFmtId="0" fontId="0" fillId="0" borderId="6" xfId="0" applyBorder="1"/>
    <xf numFmtId="0" fontId="0" fillId="0" borderId="0" xfId="0" pivotButton="1"/>
    <xf numFmtId="0" fontId="0" fillId="0" borderId="0" xfId="0" applyAlignment="1">
      <alignment horizontal="left"/>
    </xf>
    <xf numFmtId="0" fontId="0" fillId="6" borderId="0" xfId="0" applyFill="1"/>
    <xf numFmtId="0" fontId="20" fillId="6" borderId="0" xfId="0" applyFont="1" applyFill="1"/>
    <xf numFmtId="0" fontId="2" fillId="0" borderId="0" xfId="0" applyFont="1"/>
    <xf numFmtId="0" fontId="4" fillId="2" borderId="0" xfId="0" applyFont="1" applyFill="1" applyAlignment="1">
      <alignment horizontal="right" indent="15"/>
    </xf>
    <xf numFmtId="0" fontId="16" fillId="5" borderId="0" xfId="0" applyFont="1" applyFill="1" applyAlignment="1">
      <alignment horizontal="right" vertical="top" wrapText="1" indent="15"/>
    </xf>
  </cellXfs>
  <cellStyles count="1">
    <cellStyle name="Normal" xfId="0" builtinId="0"/>
  </cellStyles>
  <dxfs count="85">
    <dxf>
      <fill>
        <patternFill patternType="none">
          <fgColor indexed="64"/>
          <bgColor indexed="65"/>
        </patternFill>
      </fill>
    </dxf>
    <dxf>
      <numFmt numFmtId="19" formatCode="dd/mm/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border outline="0">
        <top style="thin">
          <color indexed="64"/>
        </top>
      </border>
    </dxf>
    <dxf>
      <fill>
        <patternFill patternType="none">
          <fgColor indexed="64"/>
          <bgColor indexed="65"/>
        </patternFill>
      </fill>
    </dxf>
    <dxf>
      <border outline="0">
        <bottom style="thin">
          <color indexed="64"/>
        </bottom>
      </border>
    </dxf>
    <dxf>
      <fill>
        <patternFill patternType="none">
          <fgColor indexed="64"/>
          <bgColor indexed="65"/>
        </patternFill>
      </fill>
      <border diagonalUp="0" diagonalDown="0" outline="0">
        <left style="thin">
          <color indexed="64"/>
        </left>
        <right style="thin">
          <color indexed="64"/>
        </right>
        <top/>
        <bottom/>
      </border>
    </dxf>
    <dxf>
      <numFmt numFmtId="0" formatCode="General"/>
    </dxf>
    <dxf>
      <fill>
        <patternFill patternType="none">
          <fgColor indexed="64"/>
          <bgColor indexed="65"/>
        </patternFill>
      </fill>
    </dxf>
    <dxf>
      <numFmt numFmtId="19" formatCode="dd/mm/yyyy"/>
      <fill>
        <patternFill patternType="none">
          <fgColor indexed="64"/>
          <bgColor indexed="65"/>
        </patternFill>
      </fill>
    </dxf>
    <dxf>
      <fill>
        <patternFill patternType="none">
          <fgColor indexed="64"/>
          <bgColor indexed="65"/>
        </patternFill>
      </fill>
    </dxf>
    <dxf>
      <border outline="0">
        <top style="thin">
          <color indexed="64"/>
        </top>
      </border>
    </dxf>
    <dxf>
      <border outline="0">
        <bottom style="thin">
          <color indexed="64"/>
        </bottom>
      </border>
    </dxf>
    <dxf>
      <fill>
        <patternFill patternType="none">
          <fgColor indexed="64"/>
          <bgColor indexed="65"/>
        </patternFill>
      </fill>
      <border diagonalUp="0" diagonalDown="0" outline="0">
        <left style="thin">
          <color indexed="64"/>
        </left>
        <right style="thin">
          <color indexed="64"/>
        </right>
        <top/>
        <bottom/>
      </border>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border outline="0">
        <top style="thin">
          <color indexed="64"/>
        </top>
      </border>
    </dxf>
    <dxf>
      <fill>
        <patternFill patternType="none">
          <fgColor indexed="64"/>
          <bgColor indexed="65"/>
        </patternFill>
      </fill>
    </dxf>
    <dxf>
      <border outline="0">
        <bottom style="thin">
          <color indexed="64"/>
        </bottom>
      </border>
    </dxf>
    <dxf>
      <fill>
        <patternFill patternType="none">
          <fgColor indexed="64"/>
          <bgColor indexed="65"/>
        </patternFill>
      </fill>
      <border diagonalUp="0" diagonalDown="0" outline="0">
        <left style="thin">
          <color indexed="64"/>
        </left>
        <right style="thin">
          <color indexed="64"/>
        </right>
        <top/>
        <bottom/>
      </border>
    </dxf>
    <dxf>
      <numFmt numFmtId="0" formatCode="General"/>
    </dxf>
    <dxf>
      <numFmt numFmtId="19" formatCode="dd/mm/yyyy"/>
    </dxf>
    <dxf>
      <border outline="0">
        <top style="thin">
          <color indexed="64"/>
        </top>
      </border>
    </dxf>
    <dxf>
      <border outline="0">
        <bottom style="thin">
          <color indexed="64"/>
        </bottom>
      </border>
    </dxf>
    <dxf>
      <fill>
        <patternFill patternType="none">
          <fgColor indexed="64"/>
          <bgColor auto="1"/>
        </patternFill>
      </fill>
      <border diagonalUp="0" diagonalDown="0" outline="0">
        <left style="thin">
          <color indexed="64"/>
        </left>
        <right style="thin">
          <color indexed="64"/>
        </right>
        <top/>
        <bottom/>
      </border>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2" formatCode="0.00"/>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numFmt numFmtId="2" formatCode="0.00"/>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2" formatCode="0.00"/>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alignment horizontal="left" vertical="center"/>
    </dxf>
    <dxf>
      <alignment horizontal="left" vertical="center"/>
    </dxf>
    <dxf>
      <numFmt numFmtId="0" formatCode="General"/>
      <alignment horizontal="left" vertical="center"/>
    </dxf>
    <dxf>
      <numFmt numFmtId="0" formatCode="General"/>
      <alignment horizontal="left" vertical="center"/>
    </dxf>
    <dxf>
      <alignment horizontal="left" vertical="center"/>
    </dxf>
    <dxf>
      <alignment horizontal="left" vertical="center"/>
    </dxf>
    <dxf>
      <font>
        <strike val="0"/>
        <outline val="0"/>
        <shadow val="0"/>
        <u val="none"/>
        <vertAlign val="baseline"/>
        <sz val="11"/>
        <color theme="1"/>
        <name val="Aptos Narrow"/>
        <family val="2"/>
        <scheme val="minor"/>
      </font>
      <alignment horizontal="left" vertical="center"/>
    </dxf>
    <dxf>
      <alignment horizontal="left" vertical="center"/>
    </dxf>
    <dxf>
      <font>
        <b val="0"/>
        <i val="0"/>
        <strike val="0"/>
        <condense val="0"/>
        <extend val="0"/>
        <outline val="0"/>
        <shadow val="0"/>
        <u val="none"/>
        <vertAlign val="baseline"/>
        <sz val="11"/>
        <color theme="4" tint="-0.24994659260841701"/>
        <name val="Aptos Narrow"/>
        <family val="2"/>
        <scheme val="minor"/>
      </font>
      <fill>
        <patternFill patternType="solid">
          <fgColor indexed="64"/>
          <bgColor theme="8" tint="0.79998168889431442"/>
        </patternFill>
      </fill>
      <alignment horizontal="left" vertical="center" textRotation="0" wrapText="0" indent="2" justifyLastLine="0" shrinkToFit="0" readingOrder="0"/>
    </dxf>
    <dxf>
      <font>
        <b val="0"/>
        <i val="0"/>
        <strike val="0"/>
        <outline val="0"/>
        <shadow val="0"/>
        <u val="none"/>
        <vertAlign val="baseline"/>
        <sz val="11"/>
        <color theme="1"/>
        <name val="Aptos Narrow"/>
        <family val="2"/>
        <scheme val="minor"/>
      </font>
      <numFmt numFmtId="165" formatCode="#,##0\ &quot;CFA&quot;"/>
      <fill>
        <patternFill patternType="solid">
          <fgColor indexed="64"/>
          <bgColor rgb="FFFBFDD3"/>
        </patternFill>
      </fill>
      <alignment horizontal="left" vertical="center" textRotation="0" wrapText="0" indent="2" justifyLastLine="0" shrinkToFit="0" readingOrder="0"/>
    </dxf>
    <dxf>
      <font>
        <b val="0"/>
        <i val="0"/>
        <strike val="0"/>
        <condense val="0"/>
        <extend val="0"/>
        <outline val="0"/>
        <shadow val="0"/>
        <u val="none"/>
        <vertAlign val="baseline"/>
        <sz val="11"/>
        <color theme="4" tint="-0.24994659260841701"/>
        <name val="Aptos Narrow"/>
        <family val="2"/>
        <scheme val="minor"/>
      </font>
      <fill>
        <patternFill patternType="solid">
          <fgColor indexed="64"/>
          <bgColor theme="8" tint="0.79998168889431442"/>
        </patternFill>
      </fill>
      <alignment horizontal="left" vertical="center" textRotation="0" wrapText="0" indent="2" justifyLastLine="0" shrinkToFit="0" readingOrder="0"/>
    </dxf>
    <dxf>
      <font>
        <b val="0"/>
        <i val="0"/>
        <strike val="0"/>
        <outline val="0"/>
        <shadow val="0"/>
        <u val="none"/>
        <vertAlign val="baseline"/>
        <sz val="11"/>
        <color theme="1"/>
        <name val="Aptos Narrow"/>
        <family val="2"/>
        <scheme val="minor"/>
      </font>
      <fill>
        <patternFill patternType="solid">
          <fgColor indexed="64"/>
          <bgColor rgb="FFFBFDD3"/>
        </patternFill>
      </fill>
      <alignment horizontal="left" vertical="center" textRotation="0" wrapText="0" indent="2" justifyLastLine="0" shrinkToFit="0" readingOrder="0"/>
    </dxf>
    <dxf>
      <font>
        <strike val="0"/>
        <outline val="0"/>
        <shadow val="0"/>
        <u val="none"/>
        <vertAlign val="baseline"/>
        <color theme="1"/>
        <name val="Aptos Narrow"/>
        <family val="2"/>
        <scheme val="minor"/>
      </font>
    </dxf>
    <dxf>
      <font>
        <b val="0"/>
        <i val="0"/>
        <strike val="0"/>
        <outline val="0"/>
        <shadow val="0"/>
        <u val="none"/>
        <vertAlign val="baseline"/>
        <sz val="11"/>
        <color theme="1"/>
        <name val="Aptos Narrow"/>
        <family val="2"/>
        <scheme val="minor"/>
      </font>
      <fill>
        <patternFill patternType="solid">
          <fgColor indexed="64"/>
          <bgColor rgb="FFFBFDD3"/>
        </patternFill>
      </fill>
      <alignment vertical="center" textRotation="0" wrapText="0" indent="0" justifyLastLine="0" shrinkToFit="0" readingOrder="0"/>
    </dxf>
    <dxf>
      <font>
        <b/>
        <i val="0"/>
        <strike val="0"/>
        <outline val="0"/>
        <shadow val="0"/>
        <u val="none"/>
        <vertAlign val="baseline"/>
        <sz val="14"/>
        <color theme="1"/>
        <name val="Aptos Narrow"/>
        <family val="2"/>
        <scheme val="minor"/>
      </font>
      <fill>
        <patternFill patternType="solid">
          <fgColor indexed="64"/>
          <bgColor rgb="FFCCCC00"/>
        </patternFill>
      </fill>
      <alignment horizontal="general" vertical="center" textRotation="0" wrapText="0" indent="0" justifyLastLine="0" shrinkToFit="0" readingOrder="0"/>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s>
  <tableStyles count="1" defaultTableStyle="TableStyleMedium2" defaultPivotStyle="PivotStyleLight16">
    <tableStyle name="Table des affaires" pivot="0" count="2" xr9:uid="{CEEDC9DD-7789-4CB5-9E41-68A4A616E81A}">
      <tableStyleElement type="wholeTable" dxfId="84"/>
      <tableStyleElement type="headerRow" dxfId="83"/>
    </tableStyle>
  </tableStyles>
  <colors>
    <mruColors>
      <color rgb="FF868618"/>
      <color rgb="FFFBFD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[Projet-VBA_Pape_Amadou_Niang_SAMBA_DIENG.xlsm]Sheet3!PivotTable1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tx2">
              <a:lumMod val="75000"/>
              <a:lumOff val="25000"/>
            </a:schemeClr>
          </a:solidFill>
          <a:ln>
            <a:noFill/>
          </a:ln>
          <a:effectLst>
            <a:softEdge rad="0"/>
          </a:effectLst>
        </c:spPr>
        <c:dLbl>
          <c:idx val="0"/>
          <c:layout>
            <c:manualLayout>
              <c:x val="1.6666557305336782E-2"/>
              <c:y val="0.57827344072697229"/>
            </c:manualLayout>
          </c:layout>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3879155730533677"/>
                  <c:h val="0.36342436749309681"/>
                </c:manualLayout>
              </c15:layout>
            </c:ext>
          </c:extLst>
        </c:dLbl>
      </c:pivotFmt>
      <c:pivotFmt>
        <c:idx val="2"/>
        <c:spPr>
          <a:noFill/>
          <a:ln>
            <a:noFill/>
          </a:ln>
          <a:effectLst>
            <a:softEdge rad="0"/>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954221347331587"/>
          <c:y val="9.0400921074456769E-2"/>
          <c:w val="0.5297025371828521"/>
          <c:h val="0.88283756197142027"/>
        </c:manualLayout>
      </c:layout>
      <c:doughnutChart>
        <c:varyColors val="1"/>
        <c:ser>
          <c:idx val="0"/>
          <c:order val="0"/>
          <c:tx>
            <c:strRef>
              <c:f>Sheet3!$B$3</c:f>
              <c:strCache>
                <c:ptCount val="1"/>
                <c:pt idx="0">
                  <c:v>Total</c:v>
                </c:pt>
              </c:strCache>
            </c:strRef>
          </c:tx>
          <c:spPr>
            <a:effectLst>
              <a:softEdge rad="0"/>
            </a:effectLst>
          </c:spPr>
          <c:dPt>
            <c:idx val="0"/>
            <c:bubble3D val="0"/>
            <c:spPr>
              <a:noFill/>
              <a:ln>
                <a:noFill/>
              </a:ln>
              <a:effectLst>
                <a:softEdge rad="0"/>
              </a:effectLst>
            </c:spPr>
            <c:extLst>
              <c:ext xmlns:c16="http://schemas.microsoft.com/office/drawing/2014/chart" uri="{C3380CC4-5D6E-409C-BE32-E72D297353CC}">
                <c16:uniqueId val="{00000003-DFD8-41B4-8EBF-66EAF00273EF}"/>
              </c:ext>
            </c:extLst>
          </c:dPt>
          <c:dPt>
            <c:idx val="1"/>
            <c:bubble3D val="0"/>
            <c:explosion val="1"/>
            <c:spPr>
              <a:solidFill>
                <a:schemeClr val="tx2">
                  <a:lumMod val="75000"/>
                  <a:lumOff val="25000"/>
                </a:schemeClr>
              </a:solidFill>
              <a:ln>
                <a:noFill/>
              </a:ln>
              <a:effectLst>
                <a:softEdge rad="0"/>
              </a:effectLst>
            </c:spPr>
            <c:extLst>
              <c:ext xmlns:c16="http://schemas.microsoft.com/office/drawing/2014/chart" uri="{C3380CC4-5D6E-409C-BE32-E72D297353CC}">
                <c16:uniqueId val="{00000002-DFD8-41B4-8EBF-66EAF00273EF}"/>
              </c:ext>
            </c:extLst>
          </c:dPt>
          <c:dLbls>
            <c:dLbl>
              <c:idx val="0"/>
              <c:delete val="1"/>
              <c:extLst>
                <c:ext xmlns:c15="http://schemas.microsoft.com/office/drawing/2012/chart" uri="{CE6537A1-D6FC-4f65-9D91-7224C49458BB}"/>
                <c:ext xmlns:c16="http://schemas.microsoft.com/office/drawing/2014/chart" uri="{C3380CC4-5D6E-409C-BE32-E72D297353CC}">
                  <c16:uniqueId val="{00000003-DFD8-41B4-8EBF-66EAF00273EF}"/>
                </c:ext>
              </c:extLst>
            </c:dLbl>
            <c:dLbl>
              <c:idx val="1"/>
              <c:layout>
                <c:manualLayout>
                  <c:x val="1.6666557305336782E-2"/>
                  <c:y val="0.57827344072697229"/>
                </c:manualLayout>
              </c:layout>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3879155730533677"/>
                      <c:h val="0.36342436749309681"/>
                    </c:manualLayout>
                  </c15:layout>
                </c:ext>
                <c:ext xmlns:c16="http://schemas.microsoft.com/office/drawing/2014/chart" uri="{C3380CC4-5D6E-409C-BE32-E72D297353CC}">
                  <c16:uniqueId val="{00000002-DFD8-41B4-8EBF-66EAF00273E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Sheet3!$A$4:$A$6</c:f>
              <c:strCache>
                <c:ptCount val="2"/>
                <c:pt idx="0">
                  <c:v>Femme</c:v>
                </c:pt>
                <c:pt idx="1">
                  <c:v>Homme</c:v>
                </c:pt>
              </c:strCache>
            </c:strRef>
          </c:cat>
          <c:val>
            <c:numRef>
              <c:f>Sheet3!$B$4:$B$6</c:f>
              <c:numCache>
                <c:formatCode>General</c:formatCode>
                <c:ptCount val="2"/>
                <c:pt idx="0">
                  <c:v>17</c:v>
                </c:pt>
                <c:pt idx="1">
                  <c:v>24</c:v>
                </c:pt>
              </c:numCache>
            </c:numRef>
          </c:val>
          <c:extLst>
            <c:ext xmlns:c16="http://schemas.microsoft.com/office/drawing/2014/chart" uri="{C3380CC4-5D6E-409C-BE32-E72D297353CC}">
              <c16:uniqueId val="{00000000-DFD8-41B4-8EBF-66EAF00273EF}"/>
            </c:ext>
          </c:extLst>
        </c:ser>
        <c:dLbls>
          <c:showLegendKey val="0"/>
          <c:showVal val="0"/>
          <c:showCatName val="0"/>
          <c:showSerName val="0"/>
          <c:showPercent val="1"/>
          <c:showBubbleSize val="0"/>
          <c:showLeaderLines val="0"/>
        </c:dLbls>
        <c:firstSliceAng val="104"/>
        <c:holeSize val="67"/>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a:solidFill>
        <a:srgbClr val="FFFF00"/>
      </a:solid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[Projet-VBA_Pape_Amadou_Niang_SAMBA_DIENG.xlsm]Sheet3!PivotTable1</c:name>
    <c:fmtId val="5"/>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oftEdge rad="0"/>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tx2">
              <a:lumMod val="75000"/>
              <a:lumOff val="25000"/>
            </a:schemeClr>
          </a:solidFill>
          <a:ln>
            <a:noFill/>
          </a:ln>
          <a:effectLst>
            <a:softEdge rad="0"/>
          </a:effectLst>
        </c:spPr>
        <c:dLbl>
          <c:idx val="0"/>
          <c:layout>
            <c:manualLayout>
              <c:x val="1.6666557305336782E-2"/>
              <c:y val="0.57827344072697229"/>
            </c:manualLayout>
          </c:layout>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3879155730533677"/>
                  <c:h val="0.36342436749309681"/>
                </c:manualLayout>
              </c15:layout>
            </c:ext>
          </c:extLst>
        </c:dLbl>
      </c:pivotFmt>
      <c:pivotFmt>
        <c:idx val="2"/>
        <c:spPr>
          <a:noFill/>
          <a:ln>
            <a:noFill/>
          </a:ln>
          <a:effectLst>
            <a:softEdge rad="0"/>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noFill/>
          <a:ln>
            <a:noFill/>
          </a:ln>
          <a:effectLst>
            <a:softEdge rad="0"/>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tx2">
              <a:lumMod val="75000"/>
              <a:lumOff val="25000"/>
            </a:schemeClr>
          </a:solidFill>
          <a:ln>
            <a:noFill/>
          </a:ln>
          <a:effectLst>
            <a:softEdge rad="0"/>
          </a:effectLst>
        </c:spPr>
        <c:dLbl>
          <c:idx val="0"/>
          <c:layout>
            <c:manualLayout>
              <c:x val="1.6666557305336782E-2"/>
              <c:y val="0.57827344072697229"/>
            </c:manualLayout>
          </c:layout>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3879155730533677"/>
                  <c:h val="0.36342436749309681"/>
                </c:manualLayout>
              </c15:layout>
            </c:ext>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2">
              <a:lumMod val="75000"/>
            </a:schemeClr>
          </a:solidFill>
          <a:ln>
            <a:noFill/>
          </a:ln>
          <a:effectLst>
            <a:softEdge rad="0"/>
          </a:effectLst>
        </c:spPr>
        <c:dLbl>
          <c:idx val="0"/>
          <c:layout>
            <c:manualLayout>
              <c:x val="3.4722222222222168E-2"/>
              <c:y val="0.58977841524456287"/>
            </c:manualLayout>
          </c:layout>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4156933508311462"/>
                  <c:h val="0.14037604035555035"/>
                </c:manualLayout>
              </c15:layout>
            </c:ext>
          </c:extLst>
        </c:dLbl>
      </c:pivotFmt>
      <c:pivotFmt>
        <c:idx val="8"/>
        <c:spPr>
          <a:noFill/>
          <a:ln>
            <a:noFill/>
          </a:ln>
          <a:effectLst>
            <a:softEdge rad="0"/>
          </a:effectLst>
        </c:spPr>
        <c:dLbl>
          <c:idx val="0"/>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layout>
                <c:manualLayout>
                  <c:w val="0.23879155730533677"/>
                  <c:h val="0.36342436749309681"/>
                </c:manualLayout>
              </c15:layout>
            </c:ext>
          </c:extLst>
        </c:dLbl>
      </c:pivotFmt>
    </c:pivotFmts>
    <c:plotArea>
      <c:layout>
        <c:manualLayout>
          <c:layoutTarget val="inner"/>
          <c:xMode val="edge"/>
          <c:yMode val="edge"/>
          <c:x val="0.21954221347331587"/>
          <c:y val="9.0400921074456769E-2"/>
          <c:w val="0.5297025371828521"/>
          <c:h val="0.88283756197142027"/>
        </c:manualLayout>
      </c:layout>
      <c:doughnutChart>
        <c:varyColors val="1"/>
        <c:ser>
          <c:idx val="0"/>
          <c:order val="0"/>
          <c:tx>
            <c:strRef>
              <c:f>Sheet3!$B$3</c:f>
              <c:strCache>
                <c:ptCount val="1"/>
                <c:pt idx="0">
                  <c:v>Total</c:v>
                </c:pt>
              </c:strCache>
            </c:strRef>
          </c:tx>
          <c:spPr>
            <a:effectLst>
              <a:softEdge rad="0"/>
            </a:effectLst>
          </c:spPr>
          <c:dPt>
            <c:idx val="0"/>
            <c:bubble3D val="0"/>
            <c:spPr>
              <a:solidFill>
                <a:schemeClr val="accent2">
                  <a:lumMod val="75000"/>
                </a:schemeClr>
              </a:solidFill>
              <a:ln>
                <a:noFill/>
              </a:ln>
              <a:effectLst>
                <a:softEdge rad="0"/>
              </a:effectLst>
            </c:spPr>
            <c:extLst>
              <c:ext xmlns:c16="http://schemas.microsoft.com/office/drawing/2014/chart" uri="{C3380CC4-5D6E-409C-BE32-E72D297353CC}">
                <c16:uniqueId val="{00000001-8438-4FB2-8C00-B4FC6089755F}"/>
              </c:ext>
            </c:extLst>
          </c:dPt>
          <c:dPt>
            <c:idx val="1"/>
            <c:bubble3D val="0"/>
            <c:explosion val="1"/>
            <c:spPr>
              <a:noFill/>
              <a:ln>
                <a:noFill/>
              </a:ln>
              <a:effectLst>
                <a:softEdge rad="0"/>
              </a:effectLst>
            </c:spPr>
            <c:extLst>
              <c:ext xmlns:c16="http://schemas.microsoft.com/office/drawing/2014/chart" uri="{C3380CC4-5D6E-409C-BE32-E72D297353CC}">
                <c16:uniqueId val="{00000003-8438-4FB2-8C00-B4FC6089755F}"/>
              </c:ext>
            </c:extLst>
          </c:dPt>
          <c:dLbls>
            <c:dLbl>
              <c:idx val="0"/>
              <c:layout>
                <c:manualLayout>
                  <c:x val="3.4722222222222168E-2"/>
                  <c:y val="0.58977841524456287"/>
                </c:manualLayout>
              </c:layout>
              <c:showLegendKey val="0"/>
              <c:showVal val="0"/>
              <c:showCatName val="0"/>
              <c:showSerName val="0"/>
              <c:showPercent val="1"/>
              <c:showBubbleSize val="0"/>
              <c:extLst>
                <c:ext xmlns:c15="http://schemas.microsoft.com/office/drawing/2012/chart" uri="{CE6537A1-D6FC-4f65-9D91-7224C49458BB}">
                  <c15:layout>
                    <c:manualLayout>
                      <c:w val="0.24156933508311462"/>
                      <c:h val="0.14037604035555035"/>
                    </c:manualLayout>
                  </c15:layout>
                </c:ext>
                <c:ext xmlns:c16="http://schemas.microsoft.com/office/drawing/2014/chart" uri="{C3380CC4-5D6E-409C-BE32-E72D297353CC}">
                  <c16:uniqueId val="{00000001-8438-4FB2-8C00-B4FC6089755F}"/>
                </c:ext>
              </c:extLst>
            </c:dLbl>
            <c:dLbl>
              <c:idx val="1"/>
              <c:delete val="1"/>
              <c:extLst>
                <c:ext xmlns:c15="http://schemas.microsoft.com/office/drawing/2012/chart" uri="{CE6537A1-D6FC-4f65-9D91-7224C49458BB}">
                  <c15:layout>
                    <c:manualLayout>
                      <c:w val="0.23879155730533677"/>
                      <c:h val="0.36342436749309681"/>
                    </c:manualLayout>
                  </c15:layout>
                </c:ext>
                <c:ext xmlns:c16="http://schemas.microsoft.com/office/drawing/2014/chart" uri="{C3380CC4-5D6E-409C-BE32-E72D297353CC}">
                  <c16:uniqueId val="{00000003-8438-4FB2-8C00-B4FC6089755F}"/>
                </c:ext>
              </c:extLst>
            </c:dLbl>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Sheet3!$A$4:$A$6</c:f>
              <c:strCache>
                <c:ptCount val="2"/>
                <c:pt idx="0">
                  <c:v>Femme</c:v>
                </c:pt>
                <c:pt idx="1">
                  <c:v>Homme</c:v>
                </c:pt>
              </c:strCache>
            </c:strRef>
          </c:cat>
          <c:val>
            <c:numRef>
              <c:f>Sheet3!$B$4:$B$6</c:f>
              <c:numCache>
                <c:formatCode>General</c:formatCode>
                <c:ptCount val="2"/>
                <c:pt idx="0">
                  <c:v>17</c:v>
                </c:pt>
                <c:pt idx="1">
                  <c:v>24</c:v>
                </c:pt>
              </c:numCache>
            </c:numRef>
          </c:val>
          <c:extLst>
            <c:ext xmlns:c16="http://schemas.microsoft.com/office/drawing/2014/chart" uri="{C3380CC4-5D6E-409C-BE32-E72D297353CC}">
              <c16:uniqueId val="{00000004-8438-4FB2-8C00-B4FC6089755F}"/>
            </c:ext>
          </c:extLst>
        </c:ser>
        <c:dLbls>
          <c:showLegendKey val="0"/>
          <c:showVal val="0"/>
          <c:showCatName val="0"/>
          <c:showSerName val="0"/>
          <c:showPercent val="1"/>
          <c:showBubbleSize val="0"/>
          <c:showLeaderLines val="0"/>
        </c:dLbls>
        <c:firstSliceAng val="283"/>
        <c:holeSize val="67"/>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a:solidFill>
        <a:srgbClr val="FFFF00"/>
      </a:solid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[Projet-VBA_Pape_Amadou_Niang_SAMBA_DIENG.xlsm]Sheet3!PivotTable3</c:name>
    <c:fmtId val="1"/>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0076284324108609E-2"/>
          <c:y val="5.4434939459728028E-2"/>
          <c:w val="0.98992371567589144"/>
          <c:h val="0.77156335396347064"/>
        </c:manualLayout>
      </c:layout>
      <c:bar3DChart>
        <c:barDir val="col"/>
        <c:grouping val="clustered"/>
        <c:varyColors val="0"/>
        <c:ser>
          <c:idx val="0"/>
          <c:order val="0"/>
          <c:tx>
            <c:strRef>
              <c:f>Sheet3!$B$16</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Sheet3!$A$17:$A$28</c:f>
              <c:strCache>
                <c:ptCount val="11"/>
                <c:pt idx="0">
                  <c:v>Achat</c:v>
                </c:pt>
                <c:pt idx="1">
                  <c:v>Commercial</c:v>
                </c:pt>
                <c:pt idx="2">
                  <c:v>CSP</c:v>
                </c:pt>
                <c:pt idx="3">
                  <c:v>Direction</c:v>
                </c:pt>
                <c:pt idx="4">
                  <c:v>Finance</c:v>
                </c:pt>
                <c:pt idx="5">
                  <c:v>IT</c:v>
                </c:pt>
                <c:pt idx="6">
                  <c:v>Méthode</c:v>
                </c:pt>
                <c:pt idx="7">
                  <c:v>Production</c:v>
                </c:pt>
                <c:pt idx="8">
                  <c:v>Qualité</c:v>
                </c:pt>
                <c:pt idx="9">
                  <c:v>Rh</c:v>
                </c:pt>
                <c:pt idx="10">
                  <c:v>Supply chain</c:v>
                </c:pt>
              </c:strCache>
            </c:strRef>
          </c:cat>
          <c:val>
            <c:numRef>
              <c:f>Sheet3!$B$17:$B$28</c:f>
              <c:numCache>
                <c:formatCode>General</c:formatCode>
                <c:ptCount val="11"/>
                <c:pt idx="0">
                  <c:v>52406.400000000001</c:v>
                </c:pt>
                <c:pt idx="1">
                  <c:v>106351.99999999999</c:v>
                </c:pt>
                <c:pt idx="2">
                  <c:v>47376</c:v>
                </c:pt>
                <c:pt idx="3">
                  <c:v>301000</c:v>
                </c:pt>
                <c:pt idx="4">
                  <c:v>444796</c:v>
                </c:pt>
                <c:pt idx="5">
                  <c:v>131380.79999999999</c:v>
                </c:pt>
                <c:pt idx="6">
                  <c:v>150080</c:v>
                </c:pt>
                <c:pt idx="7">
                  <c:v>93688.639999999999</c:v>
                </c:pt>
                <c:pt idx="8">
                  <c:v>149592</c:v>
                </c:pt>
                <c:pt idx="9">
                  <c:v>258152.00000000006</c:v>
                </c:pt>
                <c:pt idx="10">
                  <c:v>142531.20000000001</c:v>
                </c:pt>
              </c:numCache>
            </c:numRef>
          </c:val>
          <c:extLst>
            <c:ext xmlns:c16="http://schemas.microsoft.com/office/drawing/2014/chart" uri="{C3380CC4-5D6E-409C-BE32-E72D297353CC}">
              <c16:uniqueId val="{00000000-726B-444C-9676-E2FA9833B629}"/>
            </c:ext>
          </c:extLst>
        </c:ser>
        <c:dLbls>
          <c:showLegendKey val="0"/>
          <c:showVal val="1"/>
          <c:showCatName val="0"/>
          <c:showSerName val="0"/>
          <c:showPercent val="0"/>
          <c:showBubbleSize val="0"/>
        </c:dLbls>
        <c:gapWidth val="150"/>
        <c:shape val="box"/>
        <c:axId val="978287871"/>
        <c:axId val="978277951"/>
        <c:axId val="0"/>
      </c:bar3DChart>
      <c:catAx>
        <c:axId val="978287871"/>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8277951"/>
        <c:crosses val="autoZero"/>
        <c:auto val="1"/>
        <c:lblAlgn val="ctr"/>
        <c:lblOffset val="100"/>
        <c:noMultiLvlLbl val="0"/>
      </c:catAx>
      <c:valAx>
        <c:axId val="978277951"/>
        <c:scaling>
          <c:orientation val="minMax"/>
        </c:scaling>
        <c:delete val="1"/>
        <c:axPos val="l"/>
        <c:numFmt formatCode="General" sourceLinked="1"/>
        <c:majorTickMark val="out"/>
        <c:minorTickMark val="none"/>
        <c:tickLblPos val="nextTo"/>
        <c:crossAx val="978287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rgbClr val="FFFF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[Projet-VBA_Pape_Amadou_Niang_SAMBA_DIENG.xlsm]Sheet3!PivotTable5</c:name>
    <c:fmtId val="0"/>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2.6968716289104588E-2"/>
              <c:y val="-3.4153005464480873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2.9665587918015102E-2"/>
              <c:y val="-6.261312003944259E-17"/>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3.4246575342465752E-2"/>
              <c:y val="3.4153005464480873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3.6529680365296802E-2"/>
              <c:y val="0"/>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4.1095890410958819E-2"/>
              <c:y val="-1.2522624007888518E-16"/>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dLbl>
          <c:idx val="0"/>
          <c:layout>
            <c:manualLayout>
              <c:x val="2.7397260273972601E-2"/>
              <c:y val="0"/>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027271419839643"/>
          <c:y val="3.7568306010928962E-2"/>
          <c:w val="0.74100582461438902"/>
          <c:h val="0.92486338797814205"/>
        </c:manualLayout>
      </c:layout>
      <c:bar3DChart>
        <c:barDir val="bar"/>
        <c:grouping val="clustered"/>
        <c:varyColors val="0"/>
        <c:ser>
          <c:idx val="0"/>
          <c:order val="0"/>
          <c:tx>
            <c:strRef>
              <c:f>Sheet3!$B$30</c:f>
              <c:strCache>
                <c:ptCount val="1"/>
                <c:pt idx="0">
                  <c:v>Total</c:v>
                </c:pt>
              </c:strCache>
            </c:strRef>
          </c:tx>
          <c:spPr>
            <a:solidFill>
              <a:schemeClr val="accent1"/>
            </a:solidFill>
            <a:ln>
              <a:noFill/>
            </a:ln>
            <a:effectLst/>
            <a:sp3d/>
          </c:spPr>
          <c:invertIfNegative val="0"/>
          <c:dPt>
            <c:idx val="0"/>
            <c:invertIfNegative val="0"/>
            <c:bubble3D val="0"/>
            <c:extLst>
              <c:ext xmlns:c16="http://schemas.microsoft.com/office/drawing/2014/chart" uri="{C3380CC4-5D6E-409C-BE32-E72D297353CC}">
                <c16:uniqueId val="{00000006-45BD-4D09-B74D-76E8D86768D1}"/>
              </c:ext>
            </c:extLst>
          </c:dPt>
          <c:dPt>
            <c:idx val="1"/>
            <c:invertIfNegative val="0"/>
            <c:bubble3D val="0"/>
            <c:extLst>
              <c:ext xmlns:c16="http://schemas.microsoft.com/office/drawing/2014/chart" uri="{C3380CC4-5D6E-409C-BE32-E72D297353CC}">
                <c16:uniqueId val="{00000005-45BD-4D09-B74D-76E8D86768D1}"/>
              </c:ext>
            </c:extLst>
          </c:dPt>
          <c:dPt>
            <c:idx val="2"/>
            <c:invertIfNegative val="0"/>
            <c:bubble3D val="0"/>
            <c:extLst>
              <c:ext xmlns:c16="http://schemas.microsoft.com/office/drawing/2014/chart" uri="{C3380CC4-5D6E-409C-BE32-E72D297353CC}">
                <c16:uniqueId val="{00000007-45BD-4D09-B74D-76E8D86768D1}"/>
              </c:ext>
            </c:extLst>
          </c:dPt>
          <c:dPt>
            <c:idx val="3"/>
            <c:invertIfNegative val="0"/>
            <c:bubble3D val="0"/>
            <c:extLst>
              <c:ext xmlns:c16="http://schemas.microsoft.com/office/drawing/2014/chart" uri="{C3380CC4-5D6E-409C-BE32-E72D297353CC}">
                <c16:uniqueId val="{00000003-45BD-4D09-B74D-76E8D86768D1}"/>
              </c:ext>
            </c:extLst>
          </c:dPt>
          <c:dPt>
            <c:idx val="4"/>
            <c:invertIfNegative val="0"/>
            <c:bubble3D val="0"/>
            <c:extLst>
              <c:ext xmlns:c16="http://schemas.microsoft.com/office/drawing/2014/chart" uri="{C3380CC4-5D6E-409C-BE32-E72D297353CC}">
                <c16:uniqueId val="{00000004-45BD-4D09-B74D-76E8D86768D1}"/>
              </c:ext>
            </c:extLst>
          </c:dPt>
          <c:dPt>
            <c:idx val="5"/>
            <c:invertIfNegative val="0"/>
            <c:bubble3D val="0"/>
            <c:extLst>
              <c:ext xmlns:c16="http://schemas.microsoft.com/office/drawing/2014/chart" uri="{C3380CC4-5D6E-409C-BE32-E72D297353CC}">
                <c16:uniqueId val="{00000002-45BD-4D09-B74D-76E8D86768D1}"/>
              </c:ext>
            </c:extLst>
          </c:dPt>
          <c:dLbls>
            <c:dLbl>
              <c:idx val="0"/>
              <c:layout>
                <c:manualLayout>
                  <c:x val="4.1095890410958819E-2"/>
                  <c:y val="-1.2522624007888518E-1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5BD-4D09-B74D-76E8D86768D1}"/>
                </c:ext>
              </c:extLst>
            </c:dLbl>
            <c:dLbl>
              <c:idx val="1"/>
              <c:layout>
                <c:manualLayout>
                  <c:x val="3.6529680365296802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5BD-4D09-B74D-76E8D86768D1}"/>
                </c:ext>
              </c:extLst>
            </c:dLbl>
            <c:dLbl>
              <c:idx val="2"/>
              <c:layout>
                <c:manualLayout>
                  <c:x val="2.7397260273972601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5BD-4D09-B74D-76E8D86768D1}"/>
                </c:ext>
              </c:extLst>
            </c:dLbl>
            <c:dLbl>
              <c:idx val="3"/>
              <c:layout>
                <c:manualLayout>
                  <c:x val="2.9665587918015102E-2"/>
                  <c:y val="-6.261312003944259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5BD-4D09-B74D-76E8D86768D1}"/>
                </c:ext>
              </c:extLst>
            </c:dLbl>
            <c:dLbl>
              <c:idx val="4"/>
              <c:layout>
                <c:manualLayout>
                  <c:x val="3.4246575342465752E-2"/>
                  <c:y val="3.415300546448087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5BD-4D09-B74D-76E8D86768D1}"/>
                </c:ext>
              </c:extLst>
            </c:dLbl>
            <c:dLbl>
              <c:idx val="5"/>
              <c:layout>
                <c:manualLayout>
                  <c:x val="2.6968716289104588E-2"/>
                  <c:y val="-3.415300546448087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5BD-4D09-B74D-76E8D86768D1}"/>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Sheet3!$A$31:$A$37</c:f>
              <c:strCache>
                <c:ptCount val="6"/>
                <c:pt idx="0">
                  <c:v>Cadre</c:v>
                </c:pt>
                <c:pt idx="1">
                  <c:v>Employé</c:v>
                </c:pt>
                <c:pt idx="2">
                  <c:v>Manager</c:v>
                </c:pt>
                <c:pt idx="3">
                  <c:v>Opérateur</c:v>
                </c:pt>
                <c:pt idx="4">
                  <c:v>Responsable</c:v>
                </c:pt>
                <c:pt idx="5">
                  <c:v>Technicien</c:v>
                </c:pt>
              </c:strCache>
            </c:strRef>
          </c:cat>
          <c:val>
            <c:numRef>
              <c:f>Sheet3!$B$31:$B$37</c:f>
              <c:numCache>
                <c:formatCode>General</c:formatCode>
                <c:ptCount val="6"/>
                <c:pt idx="0">
                  <c:v>177010.66666666666</c:v>
                </c:pt>
                <c:pt idx="1">
                  <c:v>58594.880000000005</c:v>
                </c:pt>
                <c:pt idx="2">
                  <c:v>236117.33333333334</c:v>
                </c:pt>
                <c:pt idx="3">
                  <c:v>91714.28571428571</c:v>
                </c:pt>
                <c:pt idx="4">
                  <c:v>287704</c:v>
                </c:pt>
                <c:pt idx="5">
                  <c:v>63360</c:v>
                </c:pt>
              </c:numCache>
            </c:numRef>
          </c:val>
          <c:extLst>
            <c:ext xmlns:c16="http://schemas.microsoft.com/office/drawing/2014/chart" uri="{C3380CC4-5D6E-409C-BE32-E72D297353CC}">
              <c16:uniqueId val="{00000000-45BD-4D09-B74D-76E8D86768D1}"/>
            </c:ext>
          </c:extLst>
        </c:ser>
        <c:dLbls>
          <c:showLegendKey val="0"/>
          <c:showVal val="1"/>
          <c:showCatName val="0"/>
          <c:showSerName val="0"/>
          <c:showPercent val="0"/>
          <c:showBubbleSize val="0"/>
        </c:dLbls>
        <c:gapWidth val="150"/>
        <c:shape val="box"/>
        <c:axId val="1632148671"/>
        <c:axId val="1632148175"/>
        <c:axId val="0"/>
      </c:bar3DChart>
      <c:catAx>
        <c:axId val="16321486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2148175"/>
        <c:crosses val="autoZero"/>
        <c:auto val="1"/>
        <c:lblAlgn val="ctr"/>
        <c:lblOffset val="100"/>
        <c:noMultiLvlLbl val="0"/>
      </c:catAx>
      <c:valAx>
        <c:axId val="1632148175"/>
        <c:scaling>
          <c:orientation val="minMax"/>
        </c:scaling>
        <c:delete val="1"/>
        <c:axPos val="b"/>
        <c:numFmt formatCode="General" sourceLinked="1"/>
        <c:majorTickMark val="none"/>
        <c:minorTickMark val="none"/>
        <c:tickLblPos val="nextTo"/>
        <c:crossAx val="1632148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rgbClr val="FFFF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[Projet-VBA_Pape_Amadou_Niang_SAMBA_DIENG.xlsm]Sheet3!PivotTable8</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18518518518518517"/>
          <c:w val="0.93888888888888888"/>
          <c:h val="0.70778579760863225"/>
        </c:manualLayout>
      </c:layout>
      <c:barChart>
        <c:barDir val="col"/>
        <c:grouping val="clustered"/>
        <c:varyColors val="0"/>
        <c:ser>
          <c:idx val="0"/>
          <c:order val="0"/>
          <c:tx>
            <c:strRef>
              <c:f>Sheet3!$B$65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Sheet3!$A$66:$A$68</c:f>
              <c:strCache>
                <c:ptCount val="2"/>
                <c:pt idx="0">
                  <c:v>Femme</c:v>
                </c:pt>
                <c:pt idx="1">
                  <c:v>Homme</c:v>
                </c:pt>
              </c:strCache>
            </c:strRef>
          </c:cat>
          <c:val>
            <c:numRef>
              <c:f>Sheet3!$B$66:$B$68</c:f>
              <c:numCache>
                <c:formatCode>General</c:formatCode>
                <c:ptCount val="2"/>
                <c:pt idx="0">
                  <c:v>138972.23529411765</c:v>
                </c:pt>
                <c:pt idx="1">
                  <c:v>125505.59999999999</c:v>
                </c:pt>
              </c:numCache>
            </c:numRef>
          </c:val>
          <c:extLst>
            <c:ext xmlns:c16="http://schemas.microsoft.com/office/drawing/2014/chart" uri="{C3380CC4-5D6E-409C-BE32-E72D297353CC}">
              <c16:uniqueId val="{00000000-53C0-4376-9198-96A078C53E69}"/>
            </c:ext>
          </c:extLst>
        </c:ser>
        <c:dLbls>
          <c:dLblPos val="outEnd"/>
          <c:showLegendKey val="0"/>
          <c:showVal val="1"/>
          <c:showCatName val="0"/>
          <c:showSerName val="0"/>
          <c:showPercent val="0"/>
          <c:showBubbleSize val="0"/>
        </c:dLbls>
        <c:gapWidth val="219"/>
        <c:overlap val="-27"/>
        <c:axId val="983002591"/>
        <c:axId val="983001103"/>
      </c:barChart>
      <c:catAx>
        <c:axId val="98300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001103"/>
        <c:crosses val="autoZero"/>
        <c:auto val="1"/>
        <c:lblAlgn val="ctr"/>
        <c:lblOffset val="100"/>
        <c:noMultiLvlLbl val="0"/>
      </c:catAx>
      <c:valAx>
        <c:axId val="983001103"/>
        <c:scaling>
          <c:orientation val="minMax"/>
        </c:scaling>
        <c:delete val="1"/>
        <c:axPos val="l"/>
        <c:numFmt formatCode="General" sourceLinked="1"/>
        <c:majorTickMark val="none"/>
        <c:minorTickMark val="none"/>
        <c:tickLblPos val="nextTo"/>
        <c:crossAx val="983002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rgbClr val="FFFF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[Projet-VBA_Pape_Amadou_Niang_SAMBA_DIENG.xlsm]Sheet3!PivotTable2</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Sheet3!$B$8</c:f>
              <c:strCache>
                <c:ptCount val="1"/>
                <c:pt idx="0">
                  <c:v>Total</c:v>
                </c:pt>
              </c:strCache>
            </c:strRef>
          </c:tx>
          <c:spPr>
            <a:ln w="28575" cap="rnd">
              <a:solidFill>
                <a:schemeClr val="accent1"/>
              </a:solidFill>
              <a:round/>
            </a:ln>
            <a:effectLst/>
          </c:spPr>
          <c:marker>
            <c:symbol val="none"/>
          </c:marker>
          <c:cat>
            <c:strRef>
              <c:f>Sheet3!$A$9:$A$13</c:f>
              <c:strCache>
                <c:ptCount val="4"/>
                <c:pt idx="0">
                  <c:v>2019</c:v>
                </c:pt>
                <c:pt idx="1">
                  <c:v>2021</c:v>
                </c:pt>
                <c:pt idx="2">
                  <c:v>2022</c:v>
                </c:pt>
                <c:pt idx="3">
                  <c:v>2023</c:v>
                </c:pt>
              </c:strCache>
            </c:strRef>
          </c:cat>
          <c:val>
            <c:numRef>
              <c:f>Sheet3!$B$9:$B$13</c:f>
              <c:numCache>
                <c:formatCode>General</c:formatCode>
                <c:ptCount val="4"/>
                <c:pt idx="0">
                  <c:v>19</c:v>
                </c:pt>
                <c:pt idx="1">
                  <c:v>1</c:v>
                </c:pt>
                <c:pt idx="2">
                  <c:v>2</c:v>
                </c:pt>
                <c:pt idx="3">
                  <c:v>19</c:v>
                </c:pt>
              </c:numCache>
            </c:numRef>
          </c:val>
          <c:smooth val="0"/>
          <c:extLst>
            <c:ext xmlns:c16="http://schemas.microsoft.com/office/drawing/2014/chart" uri="{C3380CC4-5D6E-409C-BE32-E72D297353CC}">
              <c16:uniqueId val="{00000000-2D77-4178-A7FC-800B018B9D09}"/>
            </c:ext>
          </c:extLst>
        </c:ser>
        <c:dLbls>
          <c:showLegendKey val="0"/>
          <c:showVal val="0"/>
          <c:showCatName val="0"/>
          <c:showSerName val="0"/>
          <c:showPercent val="0"/>
          <c:showBubbleSize val="0"/>
        </c:dLbls>
        <c:smooth val="0"/>
        <c:axId val="1627025455"/>
        <c:axId val="1627032895"/>
      </c:lineChart>
      <c:catAx>
        <c:axId val="1627025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032895"/>
        <c:crosses val="autoZero"/>
        <c:auto val="1"/>
        <c:lblAlgn val="ctr"/>
        <c:lblOffset val="100"/>
        <c:noMultiLvlLbl val="0"/>
      </c:catAx>
      <c:valAx>
        <c:axId val="1627032895"/>
        <c:scaling>
          <c:orientation val="minMax"/>
        </c:scaling>
        <c:delete val="1"/>
        <c:axPos val="l"/>
        <c:numFmt formatCode="General" sourceLinked="1"/>
        <c:majorTickMark val="none"/>
        <c:minorTickMark val="none"/>
        <c:tickLblPos val="nextTo"/>
        <c:crossAx val="1627025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rgbClr val="FFFF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[Projet-VBA_Pape_Amadou_Niang_SAMBA_DIENG.xlsm]Sheet3!PivotTable1</c:name>
    <c:fmtId val="8"/>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oftEdge rad="0"/>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tx2">
              <a:lumMod val="75000"/>
              <a:lumOff val="25000"/>
            </a:schemeClr>
          </a:solidFill>
          <a:ln>
            <a:noFill/>
          </a:ln>
          <a:effectLst>
            <a:softEdge rad="0"/>
          </a:effectLst>
        </c:spPr>
        <c:dLbl>
          <c:idx val="0"/>
          <c:layout>
            <c:manualLayout>
              <c:x val="1.6666557305336782E-2"/>
              <c:y val="0.57827344072697229"/>
            </c:manualLayout>
          </c:layout>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3879155730533677"/>
                  <c:h val="0.36342436749309681"/>
                </c:manualLayout>
              </c15:layout>
            </c:ext>
          </c:extLst>
        </c:dLbl>
      </c:pivotFmt>
      <c:pivotFmt>
        <c:idx val="2"/>
        <c:spPr>
          <a:noFill/>
          <a:ln>
            <a:noFill/>
          </a:ln>
          <a:effectLst>
            <a:softEdge rad="0"/>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noFill/>
          <a:ln>
            <a:noFill/>
          </a:ln>
          <a:effectLst>
            <a:softEdge rad="0"/>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tx2">
              <a:lumMod val="75000"/>
              <a:lumOff val="25000"/>
            </a:schemeClr>
          </a:solidFill>
          <a:ln>
            <a:noFill/>
          </a:ln>
          <a:effectLst>
            <a:softEdge rad="0"/>
          </a:effectLst>
        </c:spPr>
        <c:dLbl>
          <c:idx val="0"/>
          <c:layout>
            <c:manualLayout>
              <c:x val="1.6666557305336782E-2"/>
              <c:y val="0.57827344072697229"/>
            </c:manualLayout>
          </c:layout>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3879155730533677"/>
                  <c:h val="0.36342436749309681"/>
                </c:manualLayout>
              </c15:layout>
            </c:ext>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noFill/>
          <a:ln>
            <a:noFill/>
          </a:ln>
          <a:effectLst>
            <a:softEdge rad="0"/>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2">
              <a:lumMod val="75000"/>
              <a:lumOff val="25000"/>
            </a:schemeClr>
          </a:solidFill>
          <a:ln>
            <a:noFill/>
          </a:ln>
          <a:effectLst>
            <a:softEdge rad="0"/>
          </a:effectLst>
        </c:spPr>
        <c:dLbl>
          <c:idx val="0"/>
          <c:layout>
            <c:manualLayout>
              <c:x val="1.6666557305336782E-2"/>
              <c:y val="0.57827344072697229"/>
            </c:manualLayout>
          </c:layout>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3879155730533677"/>
                  <c:h val="0.36342436749309681"/>
                </c:manualLayout>
              </c15:layout>
            </c:ext>
          </c:extLst>
        </c:dLbl>
      </c:pivotFmt>
    </c:pivotFmts>
    <c:plotArea>
      <c:layout>
        <c:manualLayout>
          <c:layoutTarget val="inner"/>
          <c:xMode val="edge"/>
          <c:yMode val="edge"/>
          <c:x val="0.21954221347331587"/>
          <c:y val="9.0400921074456769E-2"/>
          <c:w val="0.5297025371828521"/>
          <c:h val="0.88283756197142027"/>
        </c:manualLayout>
      </c:layout>
      <c:doughnutChart>
        <c:varyColors val="1"/>
        <c:ser>
          <c:idx val="0"/>
          <c:order val="0"/>
          <c:tx>
            <c:strRef>
              <c:f>Sheet3!$B$3</c:f>
              <c:strCache>
                <c:ptCount val="1"/>
                <c:pt idx="0">
                  <c:v>Total</c:v>
                </c:pt>
              </c:strCache>
            </c:strRef>
          </c:tx>
          <c:spPr>
            <a:effectLst>
              <a:softEdge rad="0"/>
            </a:effectLst>
          </c:spPr>
          <c:dPt>
            <c:idx val="0"/>
            <c:bubble3D val="0"/>
            <c:spPr>
              <a:noFill/>
              <a:ln>
                <a:noFill/>
              </a:ln>
              <a:effectLst>
                <a:softEdge rad="0"/>
              </a:effectLst>
            </c:spPr>
            <c:extLst>
              <c:ext xmlns:c16="http://schemas.microsoft.com/office/drawing/2014/chart" uri="{C3380CC4-5D6E-409C-BE32-E72D297353CC}">
                <c16:uniqueId val="{00000001-58A0-4F72-BA10-94C68048705E}"/>
              </c:ext>
            </c:extLst>
          </c:dPt>
          <c:dPt>
            <c:idx val="1"/>
            <c:bubble3D val="0"/>
            <c:explosion val="1"/>
            <c:spPr>
              <a:solidFill>
                <a:schemeClr val="tx2">
                  <a:lumMod val="75000"/>
                  <a:lumOff val="25000"/>
                </a:schemeClr>
              </a:solidFill>
              <a:ln>
                <a:noFill/>
              </a:ln>
              <a:effectLst>
                <a:softEdge rad="0"/>
              </a:effectLst>
            </c:spPr>
            <c:extLst>
              <c:ext xmlns:c16="http://schemas.microsoft.com/office/drawing/2014/chart" uri="{C3380CC4-5D6E-409C-BE32-E72D297353CC}">
                <c16:uniqueId val="{00000003-58A0-4F72-BA10-94C68048705E}"/>
              </c:ext>
            </c:extLst>
          </c:dPt>
          <c:dLbls>
            <c:dLbl>
              <c:idx val="0"/>
              <c:delete val="1"/>
              <c:extLst>
                <c:ext xmlns:c15="http://schemas.microsoft.com/office/drawing/2012/chart" uri="{CE6537A1-D6FC-4f65-9D91-7224C49458BB}"/>
                <c:ext xmlns:c16="http://schemas.microsoft.com/office/drawing/2014/chart" uri="{C3380CC4-5D6E-409C-BE32-E72D297353CC}">
                  <c16:uniqueId val="{00000001-58A0-4F72-BA10-94C68048705E}"/>
                </c:ext>
              </c:extLst>
            </c:dLbl>
            <c:dLbl>
              <c:idx val="1"/>
              <c:layout>
                <c:manualLayout>
                  <c:x val="1.6666557305336782E-2"/>
                  <c:y val="0.57827344072697229"/>
                </c:manualLayout>
              </c:layout>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3879155730533677"/>
                      <c:h val="0.36342436749309681"/>
                    </c:manualLayout>
                  </c15:layout>
                </c:ext>
                <c:ext xmlns:c16="http://schemas.microsoft.com/office/drawing/2014/chart" uri="{C3380CC4-5D6E-409C-BE32-E72D297353CC}">
                  <c16:uniqueId val="{00000003-58A0-4F72-BA10-94C68048705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Sheet3!$A$4:$A$6</c:f>
              <c:strCache>
                <c:ptCount val="2"/>
                <c:pt idx="0">
                  <c:v>Femme</c:v>
                </c:pt>
                <c:pt idx="1">
                  <c:v>Homme</c:v>
                </c:pt>
              </c:strCache>
            </c:strRef>
          </c:cat>
          <c:val>
            <c:numRef>
              <c:f>Sheet3!$B$4:$B$6</c:f>
              <c:numCache>
                <c:formatCode>General</c:formatCode>
                <c:ptCount val="2"/>
                <c:pt idx="0">
                  <c:v>17</c:v>
                </c:pt>
                <c:pt idx="1">
                  <c:v>24</c:v>
                </c:pt>
              </c:numCache>
            </c:numRef>
          </c:val>
          <c:extLst>
            <c:ext xmlns:c16="http://schemas.microsoft.com/office/drawing/2014/chart" uri="{C3380CC4-5D6E-409C-BE32-E72D297353CC}">
              <c16:uniqueId val="{00000004-58A0-4F72-BA10-94C68048705E}"/>
            </c:ext>
          </c:extLst>
        </c:ser>
        <c:dLbls>
          <c:showLegendKey val="0"/>
          <c:showVal val="0"/>
          <c:showCatName val="0"/>
          <c:showSerName val="0"/>
          <c:showPercent val="1"/>
          <c:showBubbleSize val="0"/>
          <c:showLeaderLines val="0"/>
        </c:dLbls>
        <c:firstSliceAng val="104"/>
        <c:holeSize val="67"/>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a:solidFill>
        <a:srgbClr val="FFFF00"/>
      </a:solid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[Projet-VBA_Pape_Amadou_Niang_SAMBA_DIENG.xlsm]Sheet3!PivotTable1</c:name>
    <c:fmtId val="11"/>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oftEdge rad="0"/>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tx2">
              <a:lumMod val="75000"/>
              <a:lumOff val="25000"/>
            </a:schemeClr>
          </a:solidFill>
          <a:ln>
            <a:noFill/>
          </a:ln>
          <a:effectLst>
            <a:softEdge rad="0"/>
          </a:effectLst>
        </c:spPr>
        <c:dLbl>
          <c:idx val="0"/>
          <c:layout>
            <c:manualLayout>
              <c:x val="1.6666557305336782E-2"/>
              <c:y val="0.57827344072697229"/>
            </c:manualLayout>
          </c:layout>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3879155730533677"/>
                  <c:h val="0.36342436749309681"/>
                </c:manualLayout>
              </c15:layout>
            </c:ext>
          </c:extLst>
        </c:dLbl>
      </c:pivotFmt>
      <c:pivotFmt>
        <c:idx val="2"/>
        <c:spPr>
          <a:noFill/>
          <a:ln>
            <a:noFill/>
          </a:ln>
          <a:effectLst>
            <a:softEdge rad="0"/>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noFill/>
          <a:ln>
            <a:noFill/>
          </a:ln>
          <a:effectLst>
            <a:softEdge rad="0"/>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tx2">
              <a:lumMod val="75000"/>
              <a:lumOff val="25000"/>
            </a:schemeClr>
          </a:solidFill>
          <a:ln>
            <a:noFill/>
          </a:ln>
          <a:effectLst>
            <a:softEdge rad="0"/>
          </a:effectLst>
        </c:spPr>
        <c:dLbl>
          <c:idx val="0"/>
          <c:layout>
            <c:manualLayout>
              <c:x val="1.6666557305336782E-2"/>
              <c:y val="0.57827344072697229"/>
            </c:manualLayout>
          </c:layout>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3879155730533677"/>
                  <c:h val="0.36342436749309681"/>
                </c:manualLayout>
              </c15:layout>
            </c:ext>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2">
              <a:lumMod val="75000"/>
            </a:schemeClr>
          </a:solidFill>
          <a:ln>
            <a:noFill/>
          </a:ln>
          <a:effectLst>
            <a:softEdge rad="0"/>
          </a:effectLst>
        </c:spPr>
        <c:dLbl>
          <c:idx val="0"/>
          <c:layout>
            <c:manualLayout>
              <c:x val="3.4722222222222168E-2"/>
              <c:y val="0.58977841524456287"/>
            </c:manualLayout>
          </c:layout>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4156933508311462"/>
                  <c:h val="0.14037604035555035"/>
                </c:manualLayout>
              </c15:layout>
            </c:ext>
          </c:extLst>
        </c:dLbl>
      </c:pivotFmt>
      <c:pivotFmt>
        <c:idx val="8"/>
        <c:spPr>
          <a:noFill/>
          <a:ln>
            <a:noFill/>
          </a:ln>
          <a:effectLst>
            <a:softEdge rad="0"/>
          </a:effectLst>
        </c:spPr>
        <c:dLbl>
          <c:idx val="0"/>
          <c:layout>
            <c:manualLayout>
              <c:x val="-0.22777788713910765"/>
              <c:y val="0.57827344072697229"/>
            </c:manualLayout>
          </c:layout>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layout>
                <c:manualLayout>
                  <c:w val="0.23879155730533677"/>
                  <c:h val="0.36342436749309681"/>
                </c:manualLayout>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2">
              <a:lumMod val="75000"/>
            </a:schemeClr>
          </a:solidFill>
          <a:ln>
            <a:noFill/>
          </a:ln>
          <a:effectLst>
            <a:softEdge rad="0"/>
          </a:effectLst>
        </c:spPr>
        <c:dLbl>
          <c:idx val="0"/>
          <c:layout>
            <c:manualLayout>
              <c:x val="3.4722222222222168E-2"/>
              <c:y val="0.58977841524456287"/>
            </c:manualLayout>
          </c:layout>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4156933508311462"/>
                  <c:h val="0.14037604035555035"/>
                </c:manualLayout>
              </c15:layout>
            </c:ext>
          </c:extLst>
        </c:dLbl>
      </c:pivotFmt>
      <c:pivotFmt>
        <c:idx val="11"/>
        <c:spPr>
          <a:noFill/>
          <a:ln>
            <a:noFill/>
          </a:ln>
          <a:effectLst>
            <a:softEdge rad="0"/>
          </a:effectLst>
        </c:spPr>
        <c:dLbl>
          <c:idx val="0"/>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layout>
                <c:manualLayout>
                  <c:w val="0.23879155730533677"/>
                  <c:h val="0.36342436749309681"/>
                </c:manualLayout>
              </c15:layout>
            </c:ext>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2">
              <a:lumMod val="75000"/>
            </a:schemeClr>
          </a:solidFill>
          <a:ln>
            <a:noFill/>
          </a:ln>
          <a:effectLst>
            <a:softEdge rad="0"/>
          </a:effectLst>
        </c:spPr>
        <c:dLbl>
          <c:idx val="0"/>
          <c:layout>
            <c:manualLayout>
              <c:x val="3.4722222222222168E-2"/>
              <c:y val="0.58977841524456287"/>
            </c:manualLayout>
          </c:layout>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4156933508311462"/>
                  <c:h val="0.14037604035555035"/>
                </c:manualLayout>
              </c15:layout>
            </c:ext>
          </c:extLst>
        </c:dLbl>
      </c:pivotFmt>
      <c:pivotFmt>
        <c:idx val="14"/>
        <c:spPr>
          <a:noFill/>
          <a:ln>
            <a:noFill/>
          </a:ln>
          <a:effectLst>
            <a:softEdge rad="0"/>
          </a:effectLst>
        </c:spPr>
        <c:dLbl>
          <c:idx val="0"/>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layout>
                <c:manualLayout>
                  <c:w val="0.23879155730533677"/>
                  <c:h val="0.36342436749309681"/>
                </c:manualLayout>
              </c15:layout>
            </c:ext>
          </c:extLst>
        </c:dLbl>
      </c:pivotFmt>
    </c:pivotFmts>
    <c:plotArea>
      <c:layout>
        <c:manualLayout>
          <c:layoutTarget val="inner"/>
          <c:xMode val="edge"/>
          <c:yMode val="edge"/>
          <c:x val="0.21954221347331587"/>
          <c:y val="9.0400921074456769E-2"/>
          <c:w val="0.5297025371828521"/>
          <c:h val="0.88283756197142027"/>
        </c:manualLayout>
      </c:layout>
      <c:doughnutChart>
        <c:varyColors val="1"/>
        <c:ser>
          <c:idx val="0"/>
          <c:order val="0"/>
          <c:tx>
            <c:strRef>
              <c:f>Sheet3!$B$3</c:f>
              <c:strCache>
                <c:ptCount val="1"/>
                <c:pt idx="0">
                  <c:v>Total</c:v>
                </c:pt>
              </c:strCache>
            </c:strRef>
          </c:tx>
          <c:spPr>
            <a:effectLst>
              <a:softEdge rad="0"/>
            </a:effectLst>
          </c:spPr>
          <c:dPt>
            <c:idx val="0"/>
            <c:bubble3D val="0"/>
            <c:spPr>
              <a:solidFill>
                <a:schemeClr val="accent2">
                  <a:lumMod val="75000"/>
                </a:schemeClr>
              </a:solidFill>
              <a:ln>
                <a:noFill/>
              </a:ln>
              <a:effectLst>
                <a:softEdge rad="0"/>
              </a:effectLst>
            </c:spPr>
            <c:extLst>
              <c:ext xmlns:c16="http://schemas.microsoft.com/office/drawing/2014/chart" uri="{C3380CC4-5D6E-409C-BE32-E72D297353CC}">
                <c16:uniqueId val="{00000001-B716-4CDA-89D5-7C676CE8DBF8}"/>
              </c:ext>
            </c:extLst>
          </c:dPt>
          <c:dPt>
            <c:idx val="1"/>
            <c:bubble3D val="0"/>
            <c:explosion val="1"/>
            <c:spPr>
              <a:noFill/>
              <a:ln>
                <a:noFill/>
              </a:ln>
              <a:effectLst>
                <a:softEdge rad="0"/>
              </a:effectLst>
            </c:spPr>
            <c:extLst>
              <c:ext xmlns:c16="http://schemas.microsoft.com/office/drawing/2014/chart" uri="{C3380CC4-5D6E-409C-BE32-E72D297353CC}">
                <c16:uniqueId val="{00000003-B716-4CDA-89D5-7C676CE8DBF8}"/>
              </c:ext>
            </c:extLst>
          </c:dPt>
          <c:dLbls>
            <c:dLbl>
              <c:idx val="0"/>
              <c:layout>
                <c:manualLayout>
                  <c:x val="3.4722222222222168E-2"/>
                  <c:y val="0.58977841524456287"/>
                </c:manualLayout>
              </c:layout>
              <c:showLegendKey val="0"/>
              <c:showVal val="0"/>
              <c:showCatName val="0"/>
              <c:showSerName val="0"/>
              <c:showPercent val="1"/>
              <c:showBubbleSize val="0"/>
              <c:extLst>
                <c:ext xmlns:c15="http://schemas.microsoft.com/office/drawing/2012/chart" uri="{CE6537A1-D6FC-4f65-9D91-7224C49458BB}">
                  <c15:layout>
                    <c:manualLayout>
                      <c:w val="0.24156933508311462"/>
                      <c:h val="0.14037604035555035"/>
                    </c:manualLayout>
                  </c15:layout>
                </c:ext>
                <c:ext xmlns:c16="http://schemas.microsoft.com/office/drawing/2014/chart" uri="{C3380CC4-5D6E-409C-BE32-E72D297353CC}">
                  <c16:uniqueId val="{00000001-B716-4CDA-89D5-7C676CE8DBF8}"/>
                </c:ext>
              </c:extLst>
            </c:dLbl>
            <c:dLbl>
              <c:idx val="1"/>
              <c:delete val="1"/>
              <c:extLst>
                <c:ext xmlns:c15="http://schemas.microsoft.com/office/drawing/2012/chart" uri="{CE6537A1-D6FC-4f65-9D91-7224C49458BB}">
                  <c15:layout>
                    <c:manualLayout>
                      <c:w val="0.23879155730533677"/>
                      <c:h val="0.36342436749309681"/>
                    </c:manualLayout>
                  </c15:layout>
                </c:ext>
                <c:ext xmlns:c16="http://schemas.microsoft.com/office/drawing/2014/chart" uri="{C3380CC4-5D6E-409C-BE32-E72D297353CC}">
                  <c16:uniqueId val="{00000003-B716-4CDA-89D5-7C676CE8DBF8}"/>
                </c:ext>
              </c:extLst>
            </c:dLbl>
            <c:spPr>
              <a:noFill/>
              <a:ln>
                <a:noFill/>
              </a:ln>
              <a:effectLst/>
            </c:spPr>
            <c:txPr>
              <a:bodyPr rot="0" spcFirstLastPara="1" vertOverflow="ellipsis" vert="horz" wrap="square" lIns="38100" tIns="19050" rIns="38100" bIns="19050" anchor="ctr" anchorCtr="1">
                <a:noAutofit/>
              </a:bodyPr>
              <a:lstStyle/>
              <a:p>
                <a:pPr>
                  <a:defRPr sz="4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Sheet3!$A$4:$A$6</c:f>
              <c:strCache>
                <c:ptCount val="2"/>
                <c:pt idx="0">
                  <c:v>Femme</c:v>
                </c:pt>
                <c:pt idx="1">
                  <c:v>Homme</c:v>
                </c:pt>
              </c:strCache>
            </c:strRef>
          </c:cat>
          <c:val>
            <c:numRef>
              <c:f>Sheet3!$B$4:$B$6</c:f>
              <c:numCache>
                <c:formatCode>General</c:formatCode>
                <c:ptCount val="2"/>
                <c:pt idx="0">
                  <c:v>17</c:v>
                </c:pt>
                <c:pt idx="1">
                  <c:v>24</c:v>
                </c:pt>
              </c:numCache>
            </c:numRef>
          </c:val>
          <c:extLst>
            <c:ext xmlns:c16="http://schemas.microsoft.com/office/drawing/2014/chart" uri="{C3380CC4-5D6E-409C-BE32-E72D297353CC}">
              <c16:uniqueId val="{00000004-B716-4CDA-89D5-7C676CE8DBF8}"/>
            </c:ext>
          </c:extLst>
        </c:ser>
        <c:dLbls>
          <c:showLegendKey val="0"/>
          <c:showVal val="0"/>
          <c:showCatName val="0"/>
          <c:showSerName val="0"/>
          <c:showPercent val="1"/>
          <c:showBubbleSize val="0"/>
          <c:showLeaderLines val="0"/>
        </c:dLbls>
        <c:firstSliceAng val="283"/>
        <c:holeSize val="67"/>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a:solidFill>
        <a:srgbClr val="FFFF00"/>
      </a:solid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[Projet-VBA_Pape_Amadou_Niang_SAMBA_DIENG.xlsm]Sheet3!PivotTable3</c:name>
    <c:fmtId val="5"/>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0076284324108609E-2"/>
          <c:y val="6.4723005303349415E-2"/>
          <c:w val="0.98992371567589144"/>
          <c:h val="0.77156335396347064"/>
        </c:manualLayout>
      </c:layout>
      <c:bar3DChart>
        <c:barDir val="col"/>
        <c:grouping val="clustered"/>
        <c:varyColors val="0"/>
        <c:ser>
          <c:idx val="0"/>
          <c:order val="0"/>
          <c:tx>
            <c:strRef>
              <c:f>Sheet3!$B$16</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Sheet3!$A$17:$A$28</c:f>
              <c:strCache>
                <c:ptCount val="11"/>
                <c:pt idx="0">
                  <c:v>Achat</c:v>
                </c:pt>
                <c:pt idx="1">
                  <c:v>Commercial</c:v>
                </c:pt>
                <c:pt idx="2">
                  <c:v>CSP</c:v>
                </c:pt>
                <c:pt idx="3">
                  <c:v>Direction</c:v>
                </c:pt>
                <c:pt idx="4">
                  <c:v>Finance</c:v>
                </c:pt>
                <c:pt idx="5">
                  <c:v>IT</c:v>
                </c:pt>
                <c:pt idx="6">
                  <c:v>Méthode</c:v>
                </c:pt>
                <c:pt idx="7">
                  <c:v>Production</c:v>
                </c:pt>
                <c:pt idx="8">
                  <c:v>Qualité</c:v>
                </c:pt>
                <c:pt idx="9">
                  <c:v>Rh</c:v>
                </c:pt>
                <c:pt idx="10">
                  <c:v>Supply chain</c:v>
                </c:pt>
              </c:strCache>
            </c:strRef>
          </c:cat>
          <c:val>
            <c:numRef>
              <c:f>Sheet3!$B$17:$B$28</c:f>
              <c:numCache>
                <c:formatCode>General</c:formatCode>
                <c:ptCount val="11"/>
                <c:pt idx="0">
                  <c:v>52406.400000000001</c:v>
                </c:pt>
                <c:pt idx="1">
                  <c:v>106351.99999999999</c:v>
                </c:pt>
                <c:pt idx="2">
                  <c:v>47376</c:v>
                </c:pt>
                <c:pt idx="3">
                  <c:v>301000</c:v>
                </c:pt>
                <c:pt idx="4">
                  <c:v>444796</c:v>
                </c:pt>
                <c:pt idx="5">
                  <c:v>131380.79999999999</c:v>
                </c:pt>
                <c:pt idx="6">
                  <c:v>150080</c:v>
                </c:pt>
                <c:pt idx="7">
                  <c:v>93688.639999999999</c:v>
                </c:pt>
                <c:pt idx="8">
                  <c:v>149592</c:v>
                </c:pt>
                <c:pt idx="9">
                  <c:v>258152.00000000006</c:v>
                </c:pt>
                <c:pt idx="10">
                  <c:v>142531.20000000001</c:v>
                </c:pt>
              </c:numCache>
            </c:numRef>
          </c:val>
          <c:extLst>
            <c:ext xmlns:c16="http://schemas.microsoft.com/office/drawing/2014/chart" uri="{C3380CC4-5D6E-409C-BE32-E72D297353CC}">
              <c16:uniqueId val="{00000000-76BC-4113-8362-3FA957D78850}"/>
            </c:ext>
          </c:extLst>
        </c:ser>
        <c:dLbls>
          <c:showLegendKey val="0"/>
          <c:showVal val="1"/>
          <c:showCatName val="0"/>
          <c:showSerName val="0"/>
          <c:showPercent val="0"/>
          <c:showBubbleSize val="0"/>
        </c:dLbls>
        <c:gapWidth val="150"/>
        <c:shape val="box"/>
        <c:axId val="978287871"/>
        <c:axId val="978277951"/>
        <c:axId val="0"/>
      </c:bar3DChart>
      <c:catAx>
        <c:axId val="978287871"/>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8277951"/>
        <c:crosses val="autoZero"/>
        <c:auto val="1"/>
        <c:lblAlgn val="ctr"/>
        <c:lblOffset val="100"/>
        <c:noMultiLvlLbl val="0"/>
      </c:catAx>
      <c:valAx>
        <c:axId val="978277951"/>
        <c:scaling>
          <c:orientation val="minMax"/>
        </c:scaling>
        <c:delete val="1"/>
        <c:axPos val="l"/>
        <c:numFmt formatCode="General" sourceLinked="1"/>
        <c:majorTickMark val="out"/>
        <c:minorTickMark val="none"/>
        <c:tickLblPos val="nextTo"/>
        <c:crossAx val="978287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rgbClr val="FFFF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[Projet-VBA_Pape_Amadou_Niang_SAMBA_DIENG.xlsm]Sheet3!PivotTable5</c:name>
    <c:fmtId val="3"/>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2.6968716289104588E-2"/>
              <c:y val="-3.4153005464480873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2.9665587918015102E-2"/>
              <c:y val="-6.261312003944259E-17"/>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3.4246575342465752E-2"/>
              <c:y val="3.4153005464480873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3.6529680365296802E-2"/>
              <c:y val="0"/>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4.1095890410958819E-2"/>
              <c:y val="-1.2522624007888518E-16"/>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dLbl>
          <c:idx val="0"/>
          <c:layout>
            <c:manualLayout>
              <c:x val="2.7397260273972601E-2"/>
              <c:y val="0"/>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dLbl>
          <c:idx val="0"/>
          <c:layout>
            <c:manualLayout>
              <c:x val="4.1095890410958819E-2"/>
              <c:y val="-1.2522624007888518E-16"/>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dLbl>
          <c:idx val="0"/>
          <c:layout>
            <c:manualLayout>
              <c:x val="3.6529680365296802E-2"/>
              <c:y val="0"/>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dLbl>
          <c:idx val="0"/>
          <c:layout>
            <c:manualLayout>
              <c:x val="2.7397260273972601E-2"/>
              <c:y val="0"/>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dLbl>
          <c:idx val="0"/>
          <c:layout>
            <c:manualLayout>
              <c:x val="2.9665587918015102E-2"/>
              <c:y val="-6.261312003944259E-17"/>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dLbl>
          <c:idx val="0"/>
          <c:layout>
            <c:manualLayout>
              <c:x val="3.4246575342465752E-2"/>
              <c:y val="3.4153005464480873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dLbl>
          <c:idx val="0"/>
          <c:layout>
            <c:manualLayout>
              <c:x val="2.6968716289104588E-2"/>
              <c:y val="-3.4153005464480873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dLbl>
          <c:idx val="0"/>
          <c:layout>
            <c:manualLayout>
              <c:x val="4.1095890410958819E-2"/>
              <c:y val="-1.2522624007888518E-16"/>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dLbl>
          <c:idx val="0"/>
          <c:layout>
            <c:manualLayout>
              <c:x val="3.6529680365296802E-2"/>
              <c:y val="0"/>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dLbl>
          <c:idx val="0"/>
          <c:layout>
            <c:manualLayout>
              <c:x val="2.7397260273972601E-2"/>
              <c:y val="0"/>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dLbl>
          <c:idx val="0"/>
          <c:layout>
            <c:manualLayout>
              <c:x val="2.9665587918015102E-2"/>
              <c:y val="-6.261312003944259E-17"/>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dLbl>
          <c:idx val="0"/>
          <c:layout>
            <c:manualLayout>
              <c:x val="3.4246575342465752E-2"/>
              <c:y val="3.4153005464480873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dLbl>
          <c:idx val="0"/>
          <c:layout>
            <c:manualLayout>
              <c:x val="2.6968716289104588E-2"/>
              <c:y val="-3.4153005464480873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027271419839643"/>
          <c:y val="3.7568306010928962E-2"/>
          <c:w val="0.74100582461438902"/>
          <c:h val="0.92486338797814205"/>
        </c:manualLayout>
      </c:layout>
      <c:bar3DChart>
        <c:barDir val="bar"/>
        <c:grouping val="clustered"/>
        <c:varyColors val="0"/>
        <c:ser>
          <c:idx val="0"/>
          <c:order val="0"/>
          <c:tx>
            <c:strRef>
              <c:f>Sheet3!$B$30</c:f>
              <c:strCache>
                <c:ptCount val="1"/>
                <c:pt idx="0">
                  <c:v>Total</c:v>
                </c:pt>
              </c:strCache>
            </c:strRef>
          </c:tx>
          <c:spPr>
            <a:solidFill>
              <a:schemeClr val="accent1"/>
            </a:solidFill>
            <a:ln>
              <a:noFill/>
            </a:ln>
            <a:effectLst/>
            <a:sp3d/>
          </c:spPr>
          <c:invertIfNegative val="0"/>
          <c:dPt>
            <c:idx val="0"/>
            <c:invertIfNegative val="0"/>
            <c:bubble3D val="0"/>
            <c:extLst>
              <c:ext xmlns:c16="http://schemas.microsoft.com/office/drawing/2014/chart" uri="{C3380CC4-5D6E-409C-BE32-E72D297353CC}">
                <c16:uniqueId val="{00000000-13A1-46FE-821F-15F5AC310EEC}"/>
              </c:ext>
            </c:extLst>
          </c:dPt>
          <c:dPt>
            <c:idx val="1"/>
            <c:invertIfNegative val="0"/>
            <c:bubble3D val="0"/>
            <c:extLst>
              <c:ext xmlns:c16="http://schemas.microsoft.com/office/drawing/2014/chart" uri="{C3380CC4-5D6E-409C-BE32-E72D297353CC}">
                <c16:uniqueId val="{00000001-13A1-46FE-821F-15F5AC310EEC}"/>
              </c:ext>
            </c:extLst>
          </c:dPt>
          <c:dPt>
            <c:idx val="2"/>
            <c:invertIfNegative val="0"/>
            <c:bubble3D val="0"/>
            <c:extLst>
              <c:ext xmlns:c16="http://schemas.microsoft.com/office/drawing/2014/chart" uri="{C3380CC4-5D6E-409C-BE32-E72D297353CC}">
                <c16:uniqueId val="{00000002-13A1-46FE-821F-15F5AC310EEC}"/>
              </c:ext>
            </c:extLst>
          </c:dPt>
          <c:dPt>
            <c:idx val="3"/>
            <c:invertIfNegative val="0"/>
            <c:bubble3D val="0"/>
            <c:extLst>
              <c:ext xmlns:c16="http://schemas.microsoft.com/office/drawing/2014/chart" uri="{C3380CC4-5D6E-409C-BE32-E72D297353CC}">
                <c16:uniqueId val="{00000003-13A1-46FE-821F-15F5AC310EEC}"/>
              </c:ext>
            </c:extLst>
          </c:dPt>
          <c:dPt>
            <c:idx val="4"/>
            <c:invertIfNegative val="0"/>
            <c:bubble3D val="0"/>
            <c:extLst>
              <c:ext xmlns:c16="http://schemas.microsoft.com/office/drawing/2014/chart" uri="{C3380CC4-5D6E-409C-BE32-E72D297353CC}">
                <c16:uniqueId val="{00000004-13A1-46FE-821F-15F5AC310EEC}"/>
              </c:ext>
            </c:extLst>
          </c:dPt>
          <c:dPt>
            <c:idx val="5"/>
            <c:invertIfNegative val="0"/>
            <c:bubble3D val="0"/>
            <c:extLst>
              <c:ext xmlns:c16="http://schemas.microsoft.com/office/drawing/2014/chart" uri="{C3380CC4-5D6E-409C-BE32-E72D297353CC}">
                <c16:uniqueId val="{00000005-13A1-46FE-821F-15F5AC310EEC}"/>
              </c:ext>
            </c:extLst>
          </c:dPt>
          <c:dLbls>
            <c:dLbl>
              <c:idx val="0"/>
              <c:layout>
                <c:manualLayout>
                  <c:x val="4.1095890410958819E-2"/>
                  <c:y val="-1.2522624007888518E-1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3A1-46FE-821F-15F5AC310EEC}"/>
                </c:ext>
              </c:extLst>
            </c:dLbl>
            <c:dLbl>
              <c:idx val="1"/>
              <c:layout>
                <c:manualLayout>
                  <c:x val="3.6529680365296802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3A1-46FE-821F-15F5AC310EEC}"/>
                </c:ext>
              </c:extLst>
            </c:dLbl>
            <c:dLbl>
              <c:idx val="2"/>
              <c:layout>
                <c:manualLayout>
                  <c:x val="2.7397260273972601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3A1-46FE-821F-15F5AC310EEC}"/>
                </c:ext>
              </c:extLst>
            </c:dLbl>
            <c:dLbl>
              <c:idx val="3"/>
              <c:layout>
                <c:manualLayout>
                  <c:x val="2.9665587918015102E-2"/>
                  <c:y val="-6.261312003944259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3A1-46FE-821F-15F5AC310EEC}"/>
                </c:ext>
              </c:extLst>
            </c:dLbl>
            <c:dLbl>
              <c:idx val="4"/>
              <c:layout>
                <c:manualLayout>
                  <c:x val="3.4246575342465752E-2"/>
                  <c:y val="3.415300546448087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3A1-46FE-821F-15F5AC310EEC}"/>
                </c:ext>
              </c:extLst>
            </c:dLbl>
            <c:dLbl>
              <c:idx val="5"/>
              <c:layout>
                <c:manualLayout>
                  <c:x val="2.6968716289104588E-2"/>
                  <c:y val="-3.415300546448087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3A1-46FE-821F-15F5AC310EEC}"/>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Sheet3!$A$31:$A$37</c:f>
              <c:strCache>
                <c:ptCount val="6"/>
                <c:pt idx="0">
                  <c:v>Cadre</c:v>
                </c:pt>
                <c:pt idx="1">
                  <c:v>Employé</c:v>
                </c:pt>
                <c:pt idx="2">
                  <c:v>Manager</c:v>
                </c:pt>
                <c:pt idx="3">
                  <c:v>Opérateur</c:v>
                </c:pt>
                <c:pt idx="4">
                  <c:v>Responsable</c:v>
                </c:pt>
                <c:pt idx="5">
                  <c:v>Technicien</c:v>
                </c:pt>
              </c:strCache>
            </c:strRef>
          </c:cat>
          <c:val>
            <c:numRef>
              <c:f>Sheet3!$B$31:$B$37</c:f>
              <c:numCache>
                <c:formatCode>General</c:formatCode>
                <c:ptCount val="6"/>
                <c:pt idx="0">
                  <c:v>177010.66666666666</c:v>
                </c:pt>
                <c:pt idx="1">
                  <c:v>58594.880000000005</c:v>
                </c:pt>
                <c:pt idx="2">
                  <c:v>236117.33333333334</c:v>
                </c:pt>
                <c:pt idx="3">
                  <c:v>91714.28571428571</c:v>
                </c:pt>
                <c:pt idx="4">
                  <c:v>287704</c:v>
                </c:pt>
                <c:pt idx="5">
                  <c:v>63360</c:v>
                </c:pt>
              </c:numCache>
            </c:numRef>
          </c:val>
          <c:extLst>
            <c:ext xmlns:c16="http://schemas.microsoft.com/office/drawing/2014/chart" uri="{C3380CC4-5D6E-409C-BE32-E72D297353CC}">
              <c16:uniqueId val="{00000006-13A1-46FE-821F-15F5AC310EEC}"/>
            </c:ext>
          </c:extLst>
        </c:ser>
        <c:dLbls>
          <c:showLegendKey val="0"/>
          <c:showVal val="1"/>
          <c:showCatName val="0"/>
          <c:showSerName val="0"/>
          <c:showPercent val="0"/>
          <c:showBubbleSize val="0"/>
        </c:dLbls>
        <c:gapWidth val="150"/>
        <c:shape val="box"/>
        <c:axId val="1632148671"/>
        <c:axId val="1632148175"/>
        <c:axId val="0"/>
      </c:bar3DChart>
      <c:catAx>
        <c:axId val="16321486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2148175"/>
        <c:crosses val="autoZero"/>
        <c:auto val="1"/>
        <c:lblAlgn val="ctr"/>
        <c:lblOffset val="100"/>
        <c:noMultiLvlLbl val="0"/>
      </c:catAx>
      <c:valAx>
        <c:axId val="1632148175"/>
        <c:scaling>
          <c:orientation val="minMax"/>
        </c:scaling>
        <c:delete val="1"/>
        <c:axPos val="b"/>
        <c:numFmt formatCode="General" sourceLinked="1"/>
        <c:majorTickMark val="none"/>
        <c:minorTickMark val="none"/>
        <c:tickLblPos val="nextTo"/>
        <c:crossAx val="1632148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rgbClr val="FFFF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[Projet-VBA_Pape_Amadou_Niang_SAMBA_DIENG.xlsm]Sheet3!PivotTable8</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18518518518518517"/>
          <c:w val="0.93888888888888888"/>
          <c:h val="0.70778579760863225"/>
        </c:manualLayout>
      </c:layout>
      <c:barChart>
        <c:barDir val="col"/>
        <c:grouping val="clustered"/>
        <c:varyColors val="0"/>
        <c:ser>
          <c:idx val="0"/>
          <c:order val="0"/>
          <c:tx>
            <c:strRef>
              <c:f>Sheet3!$B$65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Sheet3!$A$66:$A$68</c:f>
              <c:strCache>
                <c:ptCount val="2"/>
                <c:pt idx="0">
                  <c:v>Femme</c:v>
                </c:pt>
                <c:pt idx="1">
                  <c:v>Homme</c:v>
                </c:pt>
              </c:strCache>
            </c:strRef>
          </c:cat>
          <c:val>
            <c:numRef>
              <c:f>Sheet3!$B$66:$B$68</c:f>
              <c:numCache>
                <c:formatCode>General</c:formatCode>
                <c:ptCount val="2"/>
                <c:pt idx="0">
                  <c:v>138972.23529411765</c:v>
                </c:pt>
                <c:pt idx="1">
                  <c:v>125505.59999999999</c:v>
                </c:pt>
              </c:numCache>
            </c:numRef>
          </c:val>
          <c:extLst>
            <c:ext xmlns:c16="http://schemas.microsoft.com/office/drawing/2014/chart" uri="{C3380CC4-5D6E-409C-BE32-E72D297353CC}">
              <c16:uniqueId val="{00000000-C987-4392-8785-7CC6CFEE5189}"/>
            </c:ext>
          </c:extLst>
        </c:ser>
        <c:dLbls>
          <c:dLblPos val="outEnd"/>
          <c:showLegendKey val="0"/>
          <c:showVal val="1"/>
          <c:showCatName val="0"/>
          <c:showSerName val="0"/>
          <c:showPercent val="0"/>
          <c:showBubbleSize val="0"/>
        </c:dLbls>
        <c:gapWidth val="219"/>
        <c:overlap val="-27"/>
        <c:axId val="983002591"/>
        <c:axId val="983001103"/>
      </c:barChart>
      <c:catAx>
        <c:axId val="98300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001103"/>
        <c:crosses val="autoZero"/>
        <c:auto val="1"/>
        <c:lblAlgn val="ctr"/>
        <c:lblOffset val="100"/>
        <c:noMultiLvlLbl val="0"/>
      </c:catAx>
      <c:valAx>
        <c:axId val="983001103"/>
        <c:scaling>
          <c:orientation val="minMax"/>
        </c:scaling>
        <c:delete val="1"/>
        <c:axPos val="l"/>
        <c:numFmt formatCode="General" sourceLinked="1"/>
        <c:majorTickMark val="none"/>
        <c:minorTickMark val="none"/>
        <c:tickLblPos val="nextTo"/>
        <c:crossAx val="983002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rgbClr val="FFFF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[Projet-VBA_Pape_Amadou_Niang_SAMBA_DIENG.xlsm]Sheet3!PivotTable2</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Sheet3!$B$8</c:f>
              <c:strCache>
                <c:ptCount val="1"/>
                <c:pt idx="0">
                  <c:v>Total</c:v>
                </c:pt>
              </c:strCache>
            </c:strRef>
          </c:tx>
          <c:spPr>
            <a:ln w="28575" cap="rnd">
              <a:solidFill>
                <a:schemeClr val="accent1"/>
              </a:solidFill>
              <a:round/>
            </a:ln>
            <a:effectLst/>
          </c:spPr>
          <c:marker>
            <c:symbol val="none"/>
          </c:marker>
          <c:cat>
            <c:strRef>
              <c:f>Sheet3!$A$9:$A$13</c:f>
              <c:strCache>
                <c:ptCount val="4"/>
                <c:pt idx="0">
                  <c:v>2019</c:v>
                </c:pt>
                <c:pt idx="1">
                  <c:v>2021</c:v>
                </c:pt>
                <c:pt idx="2">
                  <c:v>2022</c:v>
                </c:pt>
                <c:pt idx="3">
                  <c:v>2023</c:v>
                </c:pt>
              </c:strCache>
            </c:strRef>
          </c:cat>
          <c:val>
            <c:numRef>
              <c:f>Sheet3!$B$9:$B$13</c:f>
              <c:numCache>
                <c:formatCode>General</c:formatCode>
                <c:ptCount val="4"/>
                <c:pt idx="0">
                  <c:v>19</c:v>
                </c:pt>
                <c:pt idx="1">
                  <c:v>1</c:v>
                </c:pt>
                <c:pt idx="2">
                  <c:v>2</c:v>
                </c:pt>
                <c:pt idx="3">
                  <c:v>19</c:v>
                </c:pt>
              </c:numCache>
            </c:numRef>
          </c:val>
          <c:smooth val="0"/>
          <c:extLst>
            <c:ext xmlns:c16="http://schemas.microsoft.com/office/drawing/2014/chart" uri="{C3380CC4-5D6E-409C-BE32-E72D297353CC}">
              <c16:uniqueId val="{00000000-53A2-4FA0-84DE-7468ED401995}"/>
            </c:ext>
          </c:extLst>
        </c:ser>
        <c:dLbls>
          <c:showLegendKey val="0"/>
          <c:showVal val="0"/>
          <c:showCatName val="0"/>
          <c:showSerName val="0"/>
          <c:showPercent val="0"/>
          <c:showBubbleSize val="0"/>
        </c:dLbls>
        <c:smooth val="0"/>
        <c:axId val="1627025455"/>
        <c:axId val="1627032895"/>
      </c:lineChart>
      <c:catAx>
        <c:axId val="1627025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032895"/>
        <c:crosses val="autoZero"/>
        <c:auto val="1"/>
        <c:lblAlgn val="ctr"/>
        <c:lblOffset val="100"/>
        <c:noMultiLvlLbl val="0"/>
      </c:catAx>
      <c:valAx>
        <c:axId val="1627032895"/>
        <c:scaling>
          <c:orientation val="minMax"/>
        </c:scaling>
        <c:delete val="1"/>
        <c:axPos val="l"/>
        <c:numFmt formatCode="General" sourceLinked="1"/>
        <c:majorTickMark val="none"/>
        <c:minorTickMark val="none"/>
        <c:tickLblPos val="nextTo"/>
        <c:crossAx val="1627025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rgbClr val="FFFF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image" Target="../media/image8.png"/><Relationship Id="rId7" Type="http://schemas.openxmlformats.org/officeDocument/2006/relationships/chart" Target="../charts/chart9.xml"/><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chart" Target="../charts/chart8.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image" Target="../media/image9.svg"/><Relationship Id="rId9"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220980</xdr:colOff>
      <xdr:row>1</xdr:row>
      <xdr:rowOff>137160</xdr:rowOff>
    </xdr:from>
    <xdr:to>
      <xdr:col>1</xdr:col>
      <xdr:colOff>1300480</xdr:colOff>
      <xdr:row>2</xdr:row>
      <xdr:rowOff>386080</xdr:rowOff>
    </xdr:to>
    <xdr:sp macro="" textlink="">
      <xdr:nvSpPr>
        <xdr:cNvPr id="2" name="Rectangle 1">
          <a:extLst>
            <a:ext uri="{FF2B5EF4-FFF2-40B4-BE49-F238E27FC236}">
              <a16:creationId xmlns:a16="http://schemas.microsoft.com/office/drawing/2014/main" id="{BEEE9FB8-8BBF-42C9-B904-EDC0E76A7FED}"/>
            </a:ext>
          </a:extLst>
        </xdr:cNvPr>
        <xdr:cNvSpPr/>
      </xdr:nvSpPr>
      <xdr:spPr>
        <a:xfrm>
          <a:off x="457200" y="320040"/>
          <a:ext cx="1079500" cy="1079500"/>
        </a:xfrm>
        <a:prstGeom prst="rect">
          <a:avLst/>
        </a:prstGeom>
        <a:solidFill>
          <a:srgbClr val="F1E83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rtl="0"/>
          <a:r>
            <a:rPr lang="fr" sz="1400" b="1" i="0">
              <a:latin typeface="Arial Black" panose="020B0A04020102020204" pitchFamily="34" charset="0"/>
              <a:ea typeface="Source Sans Pro" panose="020B0503030403020204" pitchFamily="34" charset="0"/>
              <a:cs typeface="Arial Black" panose="020B0604020202020204" pitchFamily="34" charset="0"/>
            </a:rPr>
            <a:t>LE LOGO VIENT ICI</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487680</xdr:colOff>
      <xdr:row>2</xdr:row>
      <xdr:rowOff>87630</xdr:rowOff>
    </xdr:from>
    <xdr:to>
      <xdr:col>11</xdr:col>
      <xdr:colOff>182880</xdr:colOff>
      <xdr:row>19</xdr:row>
      <xdr:rowOff>53340</xdr:rowOff>
    </xdr:to>
    <xdr:graphicFrame macro="">
      <xdr:nvGraphicFramePr>
        <xdr:cNvPr id="2" name="Chart 1">
          <a:extLst>
            <a:ext uri="{FF2B5EF4-FFF2-40B4-BE49-F238E27FC236}">
              <a16:creationId xmlns:a16="http://schemas.microsoft.com/office/drawing/2014/main" id="{8735DE36-F792-483E-72E5-7036D47E4C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22860</xdr:colOff>
      <xdr:row>1</xdr:row>
      <xdr:rowOff>106680</xdr:rowOff>
    </xdr:from>
    <xdr:to>
      <xdr:col>18</xdr:col>
      <xdr:colOff>327660</xdr:colOff>
      <xdr:row>18</xdr:row>
      <xdr:rowOff>72390</xdr:rowOff>
    </xdr:to>
    <xdr:graphicFrame macro="">
      <xdr:nvGraphicFramePr>
        <xdr:cNvPr id="3" name="Chart 2">
          <a:extLst>
            <a:ext uri="{FF2B5EF4-FFF2-40B4-BE49-F238E27FC236}">
              <a16:creationId xmlns:a16="http://schemas.microsoft.com/office/drawing/2014/main" id="{81DF2209-3071-490D-9D45-A6CE7DEB01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213360</xdr:colOff>
      <xdr:row>18</xdr:row>
      <xdr:rowOff>15240</xdr:rowOff>
    </xdr:from>
    <xdr:to>
      <xdr:col>11</xdr:col>
      <xdr:colOff>563880</xdr:colOff>
      <xdr:row>38</xdr:row>
      <xdr:rowOff>60960</xdr:rowOff>
    </xdr:to>
    <xdr:graphicFrame macro="">
      <xdr:nvGraphicFramePr>
        <xdr:cNvPr id="5" name="Chart 4">
          <a:extLst>
            <a:ext uri="{FF2B5EF4-FFF2-40B4-BE49-F238E27FC236}">
              <a16:creationId xmlns:a16="http://schemas.microsoft.com/office/drawing/2014/main" id="{33A4A5B6-F7C3-AB31-DF7D-F24C18C931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563880</xdr:colOff>
      <xdr:row>18</xdr:row>
      <xdr:rowOff>60960</xdr:rowOff>
    </xdr:from>
    <xdr:to>
      <xdr:col>21</xdr:col>
      <xdr:colOff>30480</xdr:colOff>
      <xdr:row>38</xdr:row>
      <xdr:rowOff>121920</xdr:rowOff>
    </xdr:to>
    <xdr:graphicFrame macro="">
      <xdr:nvGraphicFramePr>
        <xdr:cNvPr id="6" name="Chart 5">
          <a:extLst>
            <a:ext uri="{FF2B5EF4-FFF2-40B4-BE49-F238E27FC236}">
              <a16:creationId xmlns:a16="http://schemas.microsoft.com/office/drawing/2014/main" id="{DFD15A5D-1D78-76BA-3AA0-610CE13DA4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533400</xdr:colOff>
      <xdr:row>38</xdr:row>
      <xdr:rowOff>175260</xdr:rowOff>
    </xdr:from>
    <xdr:to>
      <xdr:col>10</xdr:col>
      <xdr:colOff>601980</xdr:colOff>
      <xdr:row>58</xdr:row>
      <xdr:rowOff>30480</xdr:rowOff>
    </xdr:to>
    <xdr:graphicFrame macro="">
      <xdr:nvGraphicFramePr>
        <xdr:cNvPr id="7" name="Chart 6">
          <a:extLst>
            <a:ext uri="{FF2B5EF4-FFF2-40B4-BE49-F238E27FC236}">
              <a16:creationId xmlns:a16="http://schemas.microsoft.com/office/drawing/2014/main" id="{B39343A4-A094-72C0-40C9-ADBC8ACC7E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91440</xdr:colOff>
      <xdr:row>38</xdr:row>
      <xdr:rowOff>160020</xdr:rowOff>
    </xdr:from>
    <xdr:to>
      <xdr:col>20</xdr:col>
      <xdr:colOff>38100</xdr:colOff>
      <xdr:row>59</xdr:row>
      <xdr:rowOff>76200</xdr:rowOff>
    </xdr:to>
    <xdr:graphicFrame macro="">
      <xdr:nvGraphicFramePr>
        <xdr:cNvPr id="8" name="Chart 7">
          <a:extLst>
            <a:ext uri="{FF2B5EF4-FFF2-40B4-BE49-F238E27FC236}">
              <a16:creationId xmlns:a16="http://schemas.microsoft.com/office/drawing/2014/main" id="{9CD184C1-3EC7-EC62-3A55-22B39625FA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30480</xdr:colOff>
      <xdr:row>0</xdr:row>
      <xdr:rowOff>1</xdr:rowOff>
    </xdr:from>
    <xdr:to>
      <xdr:col>1</xdr:col>
      <xdr:colOff>792480</xdr:colOff>
      <xdr:row>5</xdr:row>
      <xdr:rowOff>99060</xdr:rowOff>
    </xdr:to>
    <mc:AlternateContent xmlns:mc="http://schemas.openxmlformats.org/markup-compatibility/2006" xmlns:a14="http://schemas.microsoft.com/office/drawing/2010/main">
      <mc:Choice Requires="a14">
        <xdr:graphicFrame macro="">
          <xdr:nvGraphicFramePr>
            <xdr:cNvPr id="9" name="Sexe">
              <a:extLst>
                <a:ext uri="{FF2B5EF4-FFF2-40B4-BE49-F238E27FC236}">
                  <a16:creationId xmlns:a16="http://schemas.microsoft.com/office/drawing/2014/main" id="{12712DAD-F18B-BF13-7092-D9EEBD5C5FA6}"/>
                </a:ext>
              </a:extLst>
            </xdr:cNvPr>
            <xdr:cNvGraphicFramePr/>
          </xdr:nvGraphicFramePr>
          <xdr:xfrm>
            <a:off x="0" y="0"/>
            <a:ext cx="0" cy="0"/>
          </xdr:xfrm>
          <a:graphic>
            <a:graphicData uri="http://schemas.microsoft.com/office/drawing/2010/slicer">
              <sle:slicer xmlns:sle="http://schemas.microsoft.com/office/drawing/2010/slicer" name="Sexe"/>
            </a:graphicData>
          </a:graphic>
        </xdr:graphicFrame>
      </mc:Choice>
      <mc:Fallback xmlns="">
        <xdr:sp macro="" textlink="">
          <xdr:nvSpPr>
            <xdr:cNvPr id="0" name=""/>
            <xdr:cNvSpPr>
              <a:spLocks noTextEdit="1"/>
            </xdr:cNvSpPr>
          </xdr:nvSpPr>
          <xdr:spPr>
            <a:xfrm>
              <a:off x="30480" y="1"/>
              <a:ext cx="1615440" cy="10134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541020</xdr:colOff>
      <xdr:row>13</xdr:row>
      <xdr:rowOff>167641</xdr:rowOff>
    </xdr:from>
    <xdr:to>
      <xdr:col>2</xdr:col>
      <xdr:colOff>30480</xdr:colOff>
      <xdr:row>25</xdr:row>
      <xdr:rowOff>45721</xdr:rowOff>
    </xdr:to>
    <mc:AlternateContent xmlns:mc="http://schemas.openxmlformats.org/markup-compatibility/2006" xmlns:a14="http://schemas.microsoft.com/office/drawing/2010/main">
      <mc:Choice Requires="a14">
        <xdr:graphicFrame macro="">
          <xdr:nvGraphicFramePr>
            <xdr:cNvPr id="10" name="Catégorie">
              <a:extLst>
                <a:ext uri="{FF2B5EF4-FFF2-40B4-BE49-F238E27FC236}">
                  <a16:creationId xmlns:a16="http://schemas.microsoft.com/office/drawing/2014/main" id="{158471CA-D317-0E14-A498-87C9CCF25B2D}"/>
                </a:ext>
              </a:extLst>
            </xdr:cNvPr>
            <xdr:cNvGraphicFramePr/>
          </xdr:nvGraphicFramePr>
          <xdr:xfrm>
            <a:off x="0" y="0"/>
            <a:ext cx="0" cy="0"/>
          </xdr:xfrm>
          <a:graphic>
            <a:graphicData uri="http://schemas.microsoft.com/office/drawing/2010/slicer">
              <sle:slicer xmlns:sle="http://schemas.microsoft.com/office/drawing/2010/slicer" name="Catégorie"/>
            </a:graphicData>
          </a:graphic>
        </xdr:graphicFrame>
      </mc:Choice>
      <mc:Fallback xmlns="">
        <xdr:sp macro="" textlink="">
          <xdr:nvSpPr>
            <xdr:cNvPr id="0" name=""/>
            <xdr:cNvSpPr>
              <a:spLocks noTextEdit="1"/>
            </xdr:cNvSpPr>
          </xdr:nvSpPr>
          <xdr:spPr>
            <a:xfrm>
              <a:off x="541020" y="2545081"/>
              <a:ext cx="1828800" cy="2072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167640</xdr:colOff>
      <xdr:row>42</xdr:row>
      <xdr:rowOff>91440</xdr:rowOff>
    </xdr:from>
    <xdr:to>
      <xdr:col>1</xdr:col>
      <xdr:colOff>1143000</xdr:colOff>
      <xdr:row>56</xdr:row>
      <xdr:rowOff>112395</xdr:rowOff>
    </xdr:to>
    <mc:AlternateContent xmlns:mc="http://schemas.openxmlformats.org/markup-compatibility/2006" xmlns:a14="http://schemas.microsoft.com/office/drawing/2010/main">
      <mc:Choice Requires="a14">
        <xdr:graphicFrame macro="">
          <xdr:nvGraphicFramePr>
            <xdr:cNvPr id="11" name="Département">
              <a:extLst>
                <a:ext uri="{FF2B5EF4-FFF2-40B4-BE49-F238E27FC236}">
                  <a16:creationId xmlns:a16="http://schemas.microsoft.com/office/drawing/2014/main" id="{CF0EDD0D-3C03-17F3-8B17-78C7ED35125D}"/>
                </a:ext>
              </a:extLst>
            </xdr:cNvPr>
            <xdr:cNvGraphicFramePr/>
          </xdr:nvGraphicFramePr>
          <xdr:xfrm>
            <a:off x="0" y="0"/>
            <a:ext cx="0" cy="0"/>
          </xdr:xfrm>
          <a:graphic>
            <a:graphicData uri="http://schemas.microsoft.com/office/drawing/2010/slicer">
              <sle:slicer xmlns:sle="http://schemas.microsoft.com/office/drawing/2010/slicer" name="Département"/>
            </a:graphicData>
          </a:graphic>
        </xdr:graphicFrame>
      </mc:Choice>
      <mc:Fallback xmlns="">
        <xdr:sp macro="" textlink="">
          <xdr:nvSpPr>
            <xdr:cNvPr id="0" name=""/>
            <xdr:cNvSpPr>
              <a:spLocks noTextEdit="1"/>
            </xdr:cNvSpPr>
          </xdr:nvSpPr>
          <xdr:spPr>
            <a:xfrm>
              <a:off x="167640" y="7772400"/>
              <a:ext cx="1828800"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0.38667</cdr:x>
      <cdr:y>0.36679</cdr:y>
    </cdr:from>
    <cdr:to>
      <cdr:x>0.58667</cdr:x>
      <cdr:y>0.66419</cdr:y>
    </cdr:to>
    <cdr:pic>
      <cdr:nvPicPr>
        <cdr:cNvPr id="3" name="Graphic 2" descr="Two Men with solid fill">
          <a:extLst xmlns:a="http://schemas.openxmlformats.org/drawingml/2006/main">
            <a:ext uri="{FF2B5EF4-FFF2-40B4-BE49-F238E27FC236}">
              <a16:creationId xmlns:a16="http://schemas.microsoft.com/office/drawing/2014/main" id="{6DAB2D2F-CC7F-402C-CEC3-AE15487A7E5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767840" y="1127760"/>
          <a:ext cx="914400" cy="9144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0.385</cdr:x>
      <cdr:y>0.36679</cdr:y>
    </cdr:from>
    <cdr:to>
      <cdr:x>0.585</cdr:x>
      <cdr:y>0.66419</cdr:y>
    </cdr:to>
    <cdr:pic>
      <cdr:nvPicPr>
        <cdr:cNvPr id="4" name="Graphic 3" descr="Two women with solid fill">
          <a:extLst xmlns:a="http://schemas.openxmlformats.org/drawingml/2006/main">
            <a:ext uri="{FF2B5EF4-FFF2-40B4-BE49-F238E27FC236}">
              <a16:creationId xmlns:a16="http://schemas.microsoft.com/office/drawing/2014/main" id="{BF80C749-A488-1261-9837-16AAD3E0430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760220" y="1127760"/>
          <a:ext cx="914400" cy="914400"/>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xdr:from>
      <xdr:col>2</xdr:col>
      <xdr:colOff>99060</xdr:colOff>
      <xdr:row>0</xdr:row>
      <xdr:rowOff>106680</xdr:rowOff>
    </xdr:from>
    <xdr:to>
      <xdr:col>10</xdr:col>
      <xdr:colOff>381000</xdr:colOff>
      <xdr:row>3</xdr:row>
      <xdr:rowOff>144780</xdr:rowOff>
    </xdr:to>
    <xdr:sp macro="" textlink="">
      <xdr:nvSpPr>
        <xdr:cNvPr id="2" name="TextBox 1">
          <a:extLst>
            <a:ext uri="{FF2B5EF4-FFF2-40B4-BE49-F238E27FC236}">
              <a16:creationId xmlns:a16="http://schemas.microsoft.com/office/drawing/2014/main" id="{9CD2228F-343B-E982-3B2C-1C4A6C3061C5}"/>
            </a:ext>
          </a:extLst>
        </xdr:cNvPr>
        <xdr:cNvSpPr txBox="1"/>
      </xdr:nvSpPr>
      <xdr:spPr>
        <a:xfrm>
          <a:off x="1318260" y="106680"/>
          <a:ext cx="5158740" cy="100584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t>TABLEAU DE BORD SUIVI DU PERSONNEL</a:t>
          </a:r>
        </a:p>
      </xdr:txBody>
    </xdr:sp>
    <xdr:clientData/>
  </xdr:twoCellAnchor>
  <xdr:twoCellAnchor>
    <xdr:from>
      <xdr:col>10</xdr:col>
      <xdr:colOff>403860</xdr:colOff>
      <xdr:row>0</xdr:row>
      <xdr:rowOff>106680</xdr:rowOff>
    </xdr:from>
    <xdr:to>
      <xdr:col>14</xdr:col>
      <xdr:colOff>304800</xdr:colOff>
      <xdr:row>3</xdr:row>
      <xdr:rowOff>144780</xdr:rowOff>
    </xdr:to>
    <xdr:grpSp>
      <xdr:nvGrpSpPr>
        <xdr:cNvPr id="6" name="Group 5">
          <a:extLst>
            <a:ext uri="{FF2B5EF4-FFF2-40B4-BE49-F238E27FC236}">
              <a16:creationId xmlns:a16="http://schemas.microsoft.com/office/drawing/2014/main" id="{AF9FFC3E-8338-C048-5815-94F74BDA4801}"/>
            </a:ext>
          </a:extLst>
        </xdr:cNvPr>
        <xdr:cNvGrpSpPr/>
      </xdr:nvGrpSpPr>
      <xdr:grpSpPr>
        <a:xfrm>
          <a:off x="6626860" y="106680"/>
          <a:ext cx="2390140" cy="1009650"/>
          <a:chOff x="7391400" y="167640"/>
          <a:chExt cx="2446020" cy="1005840"/>
        </a:xfrm>
      </xdr:grpSpPr>
      <xdr:sp macro="" textlink="Sheet3!C6">
        <xdr:nvSpPr>
          <xdr:cNvPr id="3" name="TextBox 2">
            <a:extLst>
              <a:ext uri="{FF2B5EF4-FFF2-40B4-BE49-F238E27FC236}">
                <a16:creationId xmlns:a16="http://schemas.microsoft.com/office/drawing/2014/main" id="{797337D3-07D4-10B9-3E5E-07F5637D4F9E}"/>
              </a:ext>
            </a:extLst>
          </xdr:cNvPr>
          <xdr:cNvSpPr txBox="1"/>
        </xdr:nvSpPr>
        <xdr:spPr>
          <a:xfrm>
            <a:off x="7391400" y="167640"/>
            <a:ext cx="2446020" cy="10058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E701B2C-E2D2-43E7-82FD-535EB1701A74}" type="TxLink">
              <a:rPr lang="en-US" sz="4400" b="0" i="0" u="none" strike="noStrike">
                <a:solidFill>
                  <a:srgbClr val="000000"/>
                </a:solidFill>
                <a:latin typeface="Aptos Narrow"/>
              </a:rPr>
              <a:pPr algn="r"/>
              <a:t>41</a:t>
            </a:fld>
            <a:endParaRPr lang="en-US" sz="4400"/>
          </a:p>
        </xdr:txBody>
      </xdr:sp>
      <xdr:pic>
        <xdr:nvPicPr>
          <xdr:cNvPr id="5" name="Graphic 4" descr="Group with solid fill">
            <a:extLst>
              <a:ext uri="{FF2B5EF4-FFF2-40B4-BE49-F238E27FC236}">
                <a16:creationId xmlns:a16="http://schemas.microsoft.com/office/drawing/2014/main" id="{6BDEDF4F-B711-3940-FEE9-6FD8BAC4E8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734300" y="243840"/>
            <a:ext cx="914400" cy="914400"/>
          </a:xfrm>
          <a:prstGeom prst="rect">
            <a:avLst/>
          </a:prstGeom>
        </xdr:spPr>
      </xdr:pic>
    </xdr:grpSp>
    <xdr:clientData/>
  </xdr:twoCellAnchor>
  <xdr:twoCellAnchor>
    <xdr:from>
      <xdr:col>12</xdr:col>
      <xdr:colOff>381000</xdr:colOff>
      <xdr:row>0</xdr:row>
      <xdr:rowOff>106680</xdr:rowOff>
    </xdr:from>
    <xdr:to>
      <xdr:col>14</xdr:col>
      <xdr:colOff>304800</xdr:colOff>
      <xdr:row>0</xdr:row>
      <xdr:rowOff>335280</xdr:rowOff>
    </xdr:to>
    <xdr:sp macro="" textlink="">
      <xdr:nvSpPr>
        <xdr:cNvPr id="7" name="TextBox 6">
          <a:extLst>
            <a:ext uri="{FF2B5EF4-FFF2-40B4-BE49-F238E27FC236}">
              <a16:creationId xmlns:a16="http://schemas.microsoft.com/office/drawing/2014/main" id="{A2608749-1038-EEFF-5C60-C5D79B48E71E}"/>
            </a:ext>
          </a:extLst>
        </xdr:cNvPr>
        <xdr:cNvSpPr txBox="1"/>
      </xdr:nvSpPr>
      <xdr:spPr>
        <a:xfrm>
          <a:off x="7696200" y="106680"/>
          <a:ext cx="11430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NB SALARIES</a:t>
          </a:r>
        </a:p>
      </xdr:txBody>
    </xdr:sp>
    <xdr:clientData/>
  </xdr:twoCellAnchor>
  <xdr:twoCellAnchor>
    <xdr:from>
      <xdr:col>14</xdr:col>
      <xdr:colOff>396240</xdr:colOff>
      <xdr:row>0</xdr:row>
      <xdr:rowOff>99060</xdr:rowOff>
    </xdr:from>
    <xdr:to>
      <xdr:col>22</xdr:col>
      <xdr:colOff>457200</xdr:colOff>
      <xdr:row>4</xdr:row>
      <xdr:rowOff>7620</xdr:rowOff>
    </xdr:to>
    <xdr:sp macro="" textlink="DataSet_BON!AU2">
      <xdr:nvSpPr>
        <xdr:cNvPr id="8" name="TextBox 7">
          <a:extLst>
            <a:ext uri="{FF2B5EF4-FFF2-40B4-BE49-F238E27FC236}">
              <a16:creationId xmlns:a16="http://schemas.microsoft.com/office/drawing/2014/main" id="{7438D916-5392-8E14-DA55-A1EAEAF8D3A1}"/>
            </a:ext>
          </a:extLst>
        </xdr:cNvPr>
        <xdr:cNvSpPr txBox="1"/>
      </xdr:nvSpPr>
      <xdr:spPr>
        <a:xfrm>
          <a:off x="8930640" y="99060"/>
          <a:ext cx="4937760" cy="10591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ABA3624-36BD-409B-A059-15E56664FCE0}" type="TxLink">
            <a:rPr lang="en-US" sz="4800" b="1" i="0" u="none" strike="noStrike">
              <a:solidFill>
                <a:srgbClr val="000000"/>
              </a:solidFill>
              <a:latin typeface="Aptos Narrow"/>
            </a:rPr>
            <a:pPr algn="r"/>
            <a:t>5580609,6</a:t>
          </a:fld>
          <a:endParaRPr lang="en-US" sz="4800" b="1"/>
        </a:p>
      </xdr:txBody>
    </xdr:sp>
    <xdr:clientData/>
  </xdr:twoCellAnchor>
  <xdr:twoCellAnchor editAs="oneCell">
    <xdr:from>
      <xdr:col>16</xdr:col>
      <xdr:colOff>167640</xdr:colOff>
      <xdr:row>0</xdr:row>
      <xdr:rowOff>152400</xdr:rowOff>
    </xdr:from>
    <xdr:to>
      <xdr:col>17</xdr:col>
      <xdr:colOff>472440</xdr:colOff>
      <xdr:row>3</xdr:row>
      <xdr:rowOff>99060</xdr:rowOff>
    </xdr:to>
    <xdr:pic>
      <xdr:nvPicPr>
        <xdr:cNvPr id="10" name="Graphic 9" descr="Money with solid fill">
          <a:extLst>
            <a:ext uri="{FF2B5EF4-FFF2-40B4-BE49-F238E27FC236}">
              <a16:creationId xmlns:a16="http://schemas.microsoft.com/office/drawing/2014/main" id="{14D660DE-2D57-53E4-3EF8-0716602EA02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9921240" y="152400"/>
          <a:ext cx="914400" cy="914400"/>
        </a:xfrm>
        <a:prstGeom prst="rect">
          <a:avLst/>
        </a:prstGeom>
      </xdr:spPr>
    </xdr:pic>
    <xdr:clientData/>
  </xdr:twoCellAnchor>
  <xdr:twoCellAnchor>
    <xdr:from>
      <xdr:col>14</xdr:col>
      <xdr:colOff>487680</xdr:colOff>
      <xdr:row>0</xdr:row>
      <xdr:rowOff>480060</xdr:rowOff>
    </xdr:from>
    <xdr:to>
      <xdr:col>16</xdr:col>
      <xdr:colOff>121920</xdr:colOff>
      <xdr:row>2</xdr:row>
      <xdr:rowOff>152400</xdr:rowOff>
    </xdr:to>
    <xdr:sp macro="" textlink="">
      <xdr:nvSpPr>
        <xdr:cNvPr id="11" name="TextBox 10">
          <a:extLst>
            <a:ext uri="{FF2B5EF4-FFF2-40B4-BE49-F238E27FC236}">
              <a16:creationId xmlns:a16="http://schemas.microsoft.com/office/drawing/2014/main" id="{C11E7C9C-228E-0291-35E7-BBD53B085B7C}"/>
            </a:ext>
          </a:extLst>
        </xdr:cNvPr>
        <xdr:cNvSpPr txBox="1"/>
      </xdr:nvSpPr>
      <xdr:spPr>
        <a:xfrm>
          <a:off x="9022080" y="480060"/>
          <a:ext cx="853440"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chemeClr val="tx1"/>
              </a:solidFill>
            </a:rPr>
            <a:t>Fcfa</a:t>
          </a:r>
        </a:p>
      </xdr:txBody>
    </xdr:sp>
    <xdr:clientData/>
  </xdr:twoCellAnchor>
  <xdr:twoCellAnchor>
    <xdr:from>
      <xdr:col>19</xdr:col>
      <xdr:colOff>525780</xdr:colOff>
      <xdr:row>0</xdr:row>
      <xdr:rowOff>137160</xdr:rowOff>
    </xdr:from>
    <xdr:to>
      <xdr:col>22</xdr:col>
      <xdr:colOff>449580</xdr:colOff>
      <xdr:row>0</xdr:row>
      <xdr:rowOff>396240</xdr:rowOff>
    </xdr:to>
    <xdr:sp macro="" textlink="">
      <xdr:nvSpPr>
        <xdr:cNvPr id="12" name="TextBox 11">
          <a:extLst>
            <a:ext uri="{FF2B5EF4-FFF2-40B4-BE49-F238E27FC236}">
              <a16:creationId xmlns:a16="http://schemas.microsoft.com/office/drawing/2014/main" id="{10F4341D-FDDA-F586-779B-E05623CF2CD3}"/>
            </a:ext>
          </a:extLst>
        </xdr:cNvPr>
        <xdr:cNvSpPr txBox="1"/>
      </xdr:nvSpPr>
      <xdr:spPr>
        <a:xfrm>
          <a:off x="12108180" y="137160"/>
          <a:ext cx="175260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600" b="1"/>
            <a:t>Masse</a:t>
          </a:r>
          <a:r>
            <a:rPr lang="en-US" sz="1600" b="1" baseline="0"/>
            <a:t> salariale</a:t>
          </a:r>
          <a:endParaRPr lang="en-US" sz="1600" b="1"/>
        </a:p>
      </xdr:txBody>
    </xdr:sp>
    <xdr:clientData/>
  </xdr:twoCellAnchor>
  <xdr:twoCellAnchor>
    <xdr:from>
      <xdr:col>10</xdr:col>
      <xdr:colOff>22860</xdr:colOff>
      <xdr:row>7</xdr:row>
      <xdr:rowOff>0</xdr:rowOff>
    </xdr:from>
    <xdr:to>
      <xdr:col>17</xdr:col>
      <xdr:colOff>30480</xdr:colOff>
      <xdr:row>21</xdr:row>
      <xdr:rowOff>144780</xdr:rowOff>
    </xdr:to>
    <xdr:graphicFrame macro="">
      <xdr:nvGraphicFramePr>
        <xdr:cNvPr id="13" name="Chart 12">
          <a:extLst>
            <a:ext uri="{FF2B5EF4-FFF2-40B4-BE49-F238E27FC236}">
              <a16:creationId xmlns:a16="http://schemas.microsoft.com/office/drawing/2014/main" id="{3FFEAB23-CF8A-4368-A844-7CA020A59D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510540</xdr:colOff>
      <xdr:row>7</xdr:row>
      <xdr:rowOff>0</xdr:rowOff>
    </xdr:from>
    <xdr:to>
      <xdr:col>9</xdr:col>
      <xdr:colOff>601980</xdr:colOff>
      <xdr:row>21</xdr:row>
      <xdr:rowOff>160020</xdr:rowOff>
    </xdr:to>
    <xdr:graphicFrame macro="">
      <xdr:nvGraphicFramePr>
        <xdr:cNvPr id="14" name="Chart 13">
          <a:extLst>
            <a:ext uri="{FF2B5EF4-FFF2-40B4-BE49-F238E27FC236}">
              <a16:creationId xmlns:a16="http://schemas.microsoft.com/office/drawing/2014/main" id="{F7BAA852-40A8-47C6-AA93-E03520EEF2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548640</xdr:colOff>
      <xdr:row>24</xdr:row>
      <xdr:rowOff>0</xdr:rowOff>
    </xdr:from>
    <xdr:to>
      <xdr:col>17</xdr:col>
      <xdr:colOff>60960</xdr:colOff>
      <xdr:row>44</xdr:row>
      <xdr:rowOff>45720</xdr:rowOff>
    </xdr:to>
    <xdr:graphicFrame macro="">
      <xdr:nvGraphicFramePr>
        <xdr:cNvPr id="15" name="Chart 14">
          <a:extLst>
            <a:ext uri="{FF2B5EF4-FFF2-40B4-BE49-F238E27FC236}">
              <a16:creationId xmlns:a16="http://schemas.microsoft.com/office/drawing/2014/main" id="{058F6CDF-D1A6-44FC-A74C-072416323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7620</xdr:colOff>
      <xdr:row>4</xdr:row>
      <xdr:rowOff>83820</xdr:rowOff>
    </xdr:from>
    <xdr:to>
      <xdr:col>27</xdr:col>
      <xdr:colOff>563880</xdr:colOff>
      <xdr:row>42</xdr:row>
      <xdr:rowOff>7620</xdr:rowOff>
    </xdr:to>
    <xdr:graphicFrame macro="">
      <xdr:nvGraphicFramePr>
        <xdr:cNvPr id="16" name="Chart 15">
          <a:extLst>
            <a:ext uri="{FF2B5EF4-FFF2-40B4-BE49-F238E27FC236}">
              <a16:creationId xmlns:a16="http://schemas.microsoft.com/office/drawing/2014/main" id="{C721E693-0482-40CF-A3CA-8E7ABA65C7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525780</xdr:colOff>
      <xdr:row>46</xdr:row>
      <xdr:rowOff>144780</xdr:rowOff>
    </xdr:from>
    <xdr:to>
      <xdr:col>13</xdr:col>
      <xdr:colOff>586740</xdr:colOff>
      <xdr:row>66</xdr:row>
      <xdr:rowOff>0</xdr:rowOff>
    </xdr:to>
    <xdr:graphicFrame macro="">
      <xdr:nvGraphicFramePr>
        <xdr:cNvPr id="17" name="Chart 16">
          <a:extLst>
            <a:ext uri="{FF2B5EF4-FFF2-40B4-BE49-F238E27FC236}">
              <a16:creationId xmlns:a16="http://schemas.microsoft.com/office/drawing/2014/main" id="{1B9F9CD1-EA6F-4E76-8D2F-5FC3360AE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7620</xdr:colOff>
      <xdr:row>44</xdr:row>
      <xdr:rowOff>99060</xdr:rowOff>
    </xdr:from>
    <xdr:to>
      <xdr:col>27</xdr:col>
      <xdr:colOff>586740</xdr:colOff>
      <xdr:row>63</xdr:row>
      <xdr:rowOff>99060</xdr:rowOff>
    </xdr:to>
    <xdr:graphicFrame macro="">
      <xdr:nvGraphicFramePr>
        <xdr:cNvPr id="18" name="Chart 17">
          <a:extLst>
            <a:ext uri="{FF2B5EF4-FFF2-40B4-BE49-F238E27FC236}">
              <a16:creationId xmlns:a16="http://schemas.microsoft.com/office/drawing/2014/main" id="{48E76D9D-794B-423C-89EC-4BBE34C99D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0</xdr:col>
      <xdr:colOff>30480</xdr:colOff>
      <xdr:row>10</xdr:row>
      <xdr:rowOff>106680</xdr:rowOff>
    </xdr:from>
    <xdr:to>
      <xdr:col>2</xdr:col>
      <xdr:colOff>457200</xdr:colOff>
      <xdr:row>21</xdr:row>
      <xdr:rowOff>167640</xdr:rowOff>
    </xdr:to>
    <mc:AlternateContent xmlns:mc="http://schemas.openxmlformats.org/markup-compatibility/2006" xmlns:a14="http://schemas.microsoft.com/office/drawing/2010/main">
      <mc:Choice Requires="a14">
        <xdr:graphicFrame macro="">
          <xdr:nvGraphicFramePr>
            <xdr:cNvPr id="19" name="Catégorie 1">
              <a:extLst>
                <a:ext uri="{FF2B5EF4-FFF2-40B4-BE49-F238E27FC236}">
                  <a16:creationId xmlns:a16="http://schemas.microsoft.com/office/drawing/2014/main" id="{BD518E44-CA6B-418D-A399-661F3E68768B}"/>
                </a:ext>
              </a:extLst>
            </xdr:cNvPr>
            <xdr:cNvGraphicFramePr/>
          </xdr:nvGraphicFramePr>
          <xdr:xfrm>
            <a:off x="0" y="0"/>
            <a:ext cx="0" cy="0"/>
          </xdr:xfrm>
          <a:graphic>
            <a:graphicData uri="http://schemas.microsoft.com/office/drawing/2010/slicer">
              <sle:slicer xmlns:sle="http://schemas.microsoft.com/office/drawing/2010/slicer" name="Catégorie 1"/>
            </a:graphicData>
          </a:graphic>
        </xdr:graphicFrame>
      </mc:Choice>
      <mc:Fallback xmlns="">
        <xdr:sp macro="" textlink="">
          <xdr:nvSpPr>
            <xdr:cNvPr id="0" name=""/>
            <xdr:cNvSpPr>
              <a:spLocks noTextEdit="1"/>
            </xdr:cNvSpPr>
          </xdr:nvSpPr>
          <xdr:spPr>
            <a:xfrm>
              <a:off x="30480" y="2354580"/>
              <a:ext cx="1645920" cy="2072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xdr:colOff>
      <xdr:row>21</xdr:row>
      <xdr:rowOff>175260</xdr:rowOff>
    </xdr:from>
    <xdr:to>
      <xdr:col>2</xdr:col>
      <xdr:colOff>457200</xdr:colOff>
      <xdr:row>36</xdr:row>
      <xdr:rowOff>13335</xdr:rowOff>
    </xdr:to>
    <mc:AlternateContent xmlns:mc="http://schemas.openxmlformats.org/markup-compatibility/2006" xmlns:a14="http://schemas.microsoft.com/office/drawing/2010/main">
      <mc:Choice Requires="a14">
        <xdr:graphicFrame macro="">
          <xdr:nvGraphicFramePr>
            <xdr:cNvPr id="20" name="Département 1">
              <a:extLst>
                <a:ext uri="{FF2B5EF4-FFF2-40B4-BE49-F238E27FC236}">
                  <a16:creationId xmlns:a16="http://schemas.microsoft.com/office/drawing/2014/main" id="{A9F7CA5A-546B-473C-90C2-85490D96F818}"/>
                </a:ext>
              </a:extLst>
            </xdr:cNvPr>
            <xdr:cNvGraphicFramePr/>
          </xdr:nvGraphicFramePr>
          <xdr:xfrm>
            <a:off x="0" y="0"/>
            <a:ext cx="0" cy="0"/>
          </xdr:xfrm>
          <a:graphic>
            <a:graphicData uri="http://schemas.microsoft.com/office/drawing/2010/slicer">
              <sle:slicer xmlns:sle="http://schemas.microsoft.com/office/drawing/2010/slicer" name="Département 1"/>
            </a:graphicData>
          </a:graphic>
        </xdr:graphicFrame>
      </mc:Choice>
      <mc:Fallback xmlns="">
        <xdr:sp macro="" textlink="">
          <xdr:nvSpPr>
            <xdr:cNvPr id="0" name=""/>
            <xdr:cNvSpPr>
              <a:spLocks noTextEdit="1"/>
            </xdr:cNvSpPr>
          </xdr:nvSpPr>
          <xdr:spPr>
            <a:xfrm>
              <a:off x="15240" y="4434840"/>
              <a:ext cx="1661160"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60960</xdr:colOff>
      <xdr:row>4</xdr:row>
      <xdr:rowOff>114300</xdr:rowOff>
    </xdr:from>
    <xdr:to>
      <xdr:col>2</xdr:col>
      <xdr:colOff>457200</xdr:colOff>
      <xdr:row>10</xdr:row>
      <xdr:rowOff>30479</xdr:rowOff>
    </xdr:to>
    <mc:AlternateContent xmlns:mc="http://schemas.openxmlformats.org/markup-compatibility/2006" xmlns:a14="http://schemas.microsoft.com/office/drawing/2010/main">
      <mc:Choice Requires="a14">
        <xdr:graphicFrame macro="">
          <xdr:nvGraphicFramePr>
            <xdr:cNvPr id="21" name="Sexe 1">
              <a:extLst>
                <a:ext uri="{FF2B5EF4-FFF2-40B4-BE49-F238E27FC236}">
                  <a16:creationId xmlns:a16="http://schemas.microsoft.com/office/drawing/2014/main" id="{06774486-6FB2-4B17-9E4B-A19715A61334}"/>
                </a:ext>
              </a:extLst>
            </xdr:cNvPr>
            <xdr:cNvGraphicFramePr/>
          </xdr:nvGraphicFramePr>
          <xdr:xfrm>
            <a:off x="0" y="0"/>
            <a:ext cx="0" cy="0"/>
          </xdr:xfrm>
          <a:graphic>
            <a:graphicData uri="http://schemas.microsoft.com/office/drawing/2010/slicer">
              <sle:slicer xmlns:sle="http://schemas.microsoft.com/office/drawing/2010/slicer" name="Sexe 1"/>
            </a:graphicData>
          </a:graphic>
        </xdr:graphicFrame>
      </mc:Choice>
      <mc:Fallback xmlns="">
        <xdr:sp macro="" textlink="">
          <xdr:nvSpPr>
            <xdr:cNvPr id="0" name=""/>
            <xdr:cNvSpPr>
              <a:spLocks noTextEdit="1"/>
            </xdr:cNvSpPr>
          </xdr:nvSpPr>
          <xdr:spPr>
            <a:xfrm>
              <a:off x="60960" y="1264920"/>
              <a:ext cx="1615440" cy="10134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495300</xdr:colOff>
      <xdr:row>4</xdr:row>
      <xdr:rowOff>45720</xdr:rowOff>
    </xdr:from>
    <xdr:to>
      <xdr:col>9</xdr:col>
      <xdr:colOff>586740</xdr:colOff>
      <xdr:row>6</xdr:row>
      <xdr:rowOff>152400</xdr:rowOff>
    </xdr:to>
    <xdr:sp macro="" textlink="">
      <xdr:nvSpPr>
        <xdr:cNvPr id="22" name="TextBox 21">
          <a:extLst>
            <a:ext uri="{FF2B5EF4-FFF2-40B4-BE49-F238E27FC236}">
              <a16:creationId xmlns:a16="http://schemas.microsoft.com/office/drawing/2014/main" id="{E18CE77C-43F3-45F8-D522-DDF255E745E0}"/>
            </a:ext>
          </a:extLst>
        </xdr:cNvPr>
        <xdr:cNvSpPr txBox="1"/>
      </xdr:nvSpPr>
      <xdr:spPr>
        <a:xfrm>
          <a:off x="1714500" y="1196340"/>
          <a:ext cx="4358640" cy="472440"/>
        </a:xfrm>
        <a:prstGeom prst="rect">
          <a:avLst/>
        </a:prstGeom>
        <a:solidFill>
          <a:schemeClr val="tx2">
            <a:lumMod val="25000"/>
            <a:lumOff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a:t>PROPORTION</a:t>
          </a:r>
          <a:r>
            <a:rPr lang="en-US" sz="2400" baseline="0"/>
            <a:t> DES FEMMES</a:t>
          </a:r>
          <a:endParaRPr lang="en-US" sz="2400"/>
        </a:p>
      </xdr:txBody>
    </xdr:sp>
    <xdr:clientData/>
  </xdr:twoCellAnchor>
  <xdr:twoCellAnchor>
    <xdr:from>
      <xdr:col>10</xdr:col>
      <xdr:colOff>22860</xdr:colOff>
      <xdr:row>4</xdr:row>
      <xdr:rowOff>45720</xdr:rowOff>
    </xdr:from>
    <xdr:to>
      <xdr:col>17</xdr:col>
      <xdr:colOff>60960</xdr:colOff>
      <xdr:row>6</xdr:row>
      <xdr:rowOff>152400</xdr:rowOff>
    </xdr:to>
    <xdr:sp macro="" textlink="">
      <xdr:nvSpPr>
        <xdr:cNvPr id="23" name="TextBox 22">
          <a:extLst>
            <a:ext uri="{FF2B5EF4-FFF2-40B4-BE49-F238E27FC236}">
              <a16:creationId xmlns:a16="http://schemas.microsoft.com/office/drawing/2014/main" id="{BDD9BA89-DC19-4BF8-ABC7-4393894DB4D1}"/>
            </a:ext>
          </a:extLst>
        </xdr:cNvPr>
        <xdr:cNvSpPr txBox="1"/>
      </xdr:nvSpPr>
      <xdr:spPr>
        <a:xfrm>
          <a:off x="6118860" y="1196340"/>
          <a:ext cx="4305300" cy="472440"/>
        </a:xfrm>
        <a:prstGeom prst="rect">
          <a:avLst/>
        </a:prstGeom>
        <a:solidFill>
          <a:schemeClr val="tx2">
            <a:lumMod val="25000"/>
            <a:lumOff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400">
              <a:solidFill>
                <a:schemeClr val="dk1"/>
              </a:solidFill>
              <a:effectLst/>
              <a:latin typeface="+mn-lt"/>
              <a:ea typeface="+mn-ea"/>
              <a:cs typeface="+mn-cs"/>
            </a:rPr>
            <a:t>PROPORTION</a:t>
          </a:r>
          <a:r>
            <a:rPr lang="en-US" sz="2400" baseline="0">
              <a:solidFill>
                <a:schemeClr val="dk1"/>
              </a:solidFill>
              <a:effectLst/>
              <a:latin typeface="+mn-lt"/>
              <a:ea typeface="+mn-ea"/>
              <a:cs typeface="+mn-cs"/>
            </a:rPr>
            <a:t> DES HOMMES</a:t>
          </a:r>
          <a:endParaRPr lang="en-US">
            <a:effectLst/>
          </a:endParaRPr>
        </a:p>
        <a:p>
          <a:pPr algn="ctr"/>
          <a:endParaRPr lang="en-US" sz="1100"/>
        </a:p>
      </xdr:txBody>
    </xdr:sp>
    <xdr:clientData/>
  </xdr:twoCellAnchor>
  <xdr:twoCellAnchor>
    <xdr:from>
      <xdr:col>2</xdr:col>
      <xdr:colOff>556260</xdr:colOff>
      <xdr:row>21</xdr:row>
      <xdr:rowOff>167640</xdr:rowOff>
    </xdr:from>
    <xdr:to>
      <xdr:col>17</xdr:col>
      <xdr:colOff>68580</xdr:colOff>
      <xdr:row>23</xdr:row>
      <xdr:rowOff>175260</xdr:rowOff>
    </xdr:to>
    <xdr:sp macro="" textlink="">
      <xdr:nvSpPr>
        <xdr:cNvPr id="25" name="TextBox 24">
          <a:extLst>
            <a:ext uri="{FF2B5EF4-FFF2-40B4-BE49-F238E27FC236}">
              <a16:creationId xmlns:a16="http://schemas.microsoft.com/office/drawing/2014/main" id="{AAEA6AC4-2364-4116-9558-7F3C775AE69A}"/>
            </a:ext>
          </a:extLst>
        </xdr:cNvPr>
        <xdr:cNvSpPr txBox="1"/>
      </xdr:nvSpPr>
      <xdr:spPr>
        <a:xfrm>
          <a:off x="1775460" y="4427220"/>
          <a:ext cx="8656320" cy="373380"/>
        </a:xfrm>
        <a:prstGeom prst="rect">
          <a:avLst/>
        </a:prstGeom>
        <a:solidFill>
          <a:schemeClr val="tx2">
            <a:lumMod val="25000"/>
            <a:lumOff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a:t>REPARTITION</a:t>
          </a:r>
          <a:r>
            <a:rPr lang="en-US" sz="2000" baseline="0"/>
            <a:t> DES SALAIRES PAR DEPARTEMENT</a:t>
          </a:r>
          <a:endParaRPr lang="en-US" sz="2000"/>
        </a:p>
      </xdr:txBody>
    </xdr:sp>
    <xdr:clientData/>
  </xdr:twoCellAnchor>
  <xdr:twoCellAnchor>
    <xdr:from>
      <xdr:col>2</xdr:col>
      <xdr:colOff>571500</xdr:colOff>
      <xdr:row>44</xdr:row>
      <xdr:rowOff>68580</xdr:rowOff>
    </xdr:from>
    <xdr:to>
      <xdr:col>13</xdr:col>
      <xdr:colOff>579120</xdr:colOff>
      <xdr:row>46</xdr:row>
      <xdr:rowOff>106680</xdr:rowOff>
    </xdr:to>
    <xdr:sp macro="" textlink="">
      <xdr:nvSpPr>
        <xdr:cNvPr id="26" name="TextBox 25">
          <a:extLst>
            <a:ext uri="{FF2B5EF4-FFF2-40B4-BE49-F238E27FC236}">
              <a16:creationId xmlns:a16="http://schemas.microsoft.com/office/drawing/2014/main" id="{8BEBEF5F-B4AB-7563-2D49-89822E854F8E}"/>
            </a:ext>
          </a:extLst>
        </xdr:cNvPr>
        <xdr:cNvSpPr txBox="1"/>
      </xdr:nvSpPr>
      <xdr:spPr>
        <a:xfrm>
          <a:off x="1790700" y="8534400"/>
          <a:ext cx="6713220" cy="403860"/>
        </a:xfrm>
        <a:prstGeom prst="rect">
          <a:avLst/>
        </a:prstGeom>
        <a:solidFill>
          <a:schemeClr val="tx2">
            <a:lumMod val="25000"/>
            <a:lumOff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REPARTITION DES SALAIRES</a:t>
          </a:r>
          <a:r>
            <a:rPr lang="en-US" sz="2400" baseline="0"/>
            <a:t> PAR SEXE</a:t>
          </a:r>
          <a:endParaRPr lang="en-US" sz="2400"/>
        </a:p>
      </xdr:txBody>
    </xdr:sp>
    <xdr:clientData/>
  </xdr:twoCellAnchor>
  <xdr:twoCellAnchor>
    <xdr:from>
      <xdr:col>17</xdr:col>
      <xdr:colOff>76200</xdr:colOff>
      <xdr:row>42</xdr:row>
      <xdr:rowOff>45720</xdr:rowOff>
    </xdr:from>
    <xdr:to>
      <xdr:col>27</xdr:col>
      <xdr:colOff>556260</xdr:colOff>
      <xdr:row>44</xdr:row>
      <xdr:rowOff>83820</xdr:rowOff>
    </xdr:to>
    <xdr:sp macro="" textlink="">
      <xdr:nvSpPr>
        <xdr:cNvPr id="27" name="TextBox 26">
          <a:extLst>
            <a:ext uri="{FF2B5EF4-FFF2-40B4-BE49-F238E27FC236}">
              <a16:creationId xmlns:a16="http://schemas.microsoft.com/office/drawing/2014/main" id="{912A0456-A9ED-40F5-8F3F-CFFD9FE56F40}"/>
            </a:ext>
          </a:extLst>
        </xdr:cNvPr>
        <xdr:cNvSpPr txBox="1"/>
      </xdr:nvSpPr>
      <xdr:spPr>
        <a:xfrm>
          <a:off x="10439400" y="8145780"/>
          <a:ext cx="6576060" cy="403860"/>
        </a:xfrm>
        <a:prstGeom prst="rect">
          <a:avLst/>
        </a:prstGeom>
        <a:solidFill>
          <a:schemeClr val="tx2">
            <a:lumMod val="25000"/>
            <a:lumOff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EVOLUTION</a:t>
          </a:r>
          <a:r>
            <a:rPr lang="en-US" sz="2400" baseline="0"/>
            <a:t> DE L'EMBAUCHE PAR ANNEE</a:t>
          </a:r>
          <a:endParaRPr lang="en-US" sz="2400"/>
        </a:p>
      </xdr:txBody>
    </xdr:sp>
    <xdr:clientData/>
  </xdr:twoCellAnchor>
  <xdr:twoCellAnchor>
    <xdr:from>
      <xdr:col>17</xdr:col>
      <xdr:colOff>83820</xdr:colOff>
      <xdr:row>4</xdr:row>
      <xdr:rowOff>76200</xdr:rowOff>
    </xdr:from>
    <xdr:to>
      <xdr:col>17</xdr:col>
      <xdr:colOff>594360</xdr:colOff>
      <xdr:row>42</xdr:row>
      <xdr:rowOff>7620</xdr:rowOff>
    </xdr:to>
    <xdr:sp macro="" textlink="">
      <xdr:nvSpPr>
        <xdr:cNvPr id="28" name="TextBox 27">
          <a:extLst>
            <a:ext uri="{FF2B5EF4-FFF2-40B4-BE49-F238E27FC236}">
              <a16:creationId xmlns:a16="http://schemas.microsoft.com/office/drawing/2014/main" id="{F351F60A-CC70-3749-D249-92A297C26613}"/>
            </a:ext>
          </a:extLst>
        </xdr:cNvPr>
        <xdr:cNvSpPr txBox="1"/>
      </xdr:nvSpPr>
      <xdr:spPr>
        <a:xfrm>
          <a:off x="10447020" y="1226820"/>
          <a:ext cx="510540" cy="6880860"/>
        </a:xfrm>
        <a:prstGeom prst="rect">
          <a:avLst/>
        </a:prstGeom>
        <a:solidFill>
          <a:schemeClr val="tx2">
            <a:lumMod val="25000"/>
            <a:lumOff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ctr"/>
          <a:r>
            <a:rPr lang="en-US" sz="2800"/>
            <a:t>REPARTITION</a:t>
          </a:r>
          <a:r>
            <a:rPr lang="en-US" sz="2800" baseline="0"/>
            <a:t> DES SALAIRES PAR CATEGORIE</a:t>
          </a:r>
          <a:endParaRPr lang="en-US" sz="2800"/>
        </a:p>
      </xdr:txBody>
    </xdr:sp>
    <xdr:clientData/>
  </xdr:twoCellAnchor>
  <mc:AlternateContent xmlns:mc="http://schemas.openxmlformats.org/markup-compatibility/2006">
    <mc:Choice xmlns:a14="http://schemas.microsoft.com/office/drawing/2010/main" Requires="a14">
      <xdr:twoCellAnchor editAs="oneCell">
        <xdr:from>
          <xdr:col>0</xdr:col>
          <xdr:colOff>63500</xdr:colOff>
          <xdr:row>0</xdr:row>
          <xdr:rowOff>184150</xdr:rowOff>
        </xdr:from>
        <xdr:to>
          <xdr:col>2</xdr:col>
          <xdr:colOff>12700</xdr:colOff>
          <xdr:row>2</xdr:row>
          <xdr:rowOff>69850</xdr:rowOff>
        </xdr:to>
        <xdr:sp macro="" textlink="">
          <xdr:nvSpPr>
            <xdr:cNvPr id="3074" name="CommandButton1"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0.38667</cdr:x>
      <cdr:y>0.36679</cdr:y>
    </cdr:from>
    <cdr:to>
      <cdr:x>0.58667</cdr:x>
      <cdr:y>0.66419</cdr:y>
    </cdr:to>
    <cdr:pic>
      <cdr:nvPicPr>
        <cdr:cNvPr id="3" name="Graphic 2" descr="Two Men with solid fill">
          <a:extLst xmlns:a="http://schemas.openxmlformats.org/drawingml/2006/main">
            <a:ext uri="{FF2B5EF4-FFF2-40B4-BE49-F238E27FC236}">
              <a16:creationId xmlns:a16="http://schemas.microsoft.com/office/drawing/2014/main" id="{6DAB2D2F-CC7F-402C-CEC3-AE15487A7E5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767840" y="1127760"/>
          <a:ext cx="914400" cy="9144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0.385</cdr:x>
      <cdr:y>0.36679</cdr:y>
    </cdr:from>
    <cdr:to>
      <cdr:x>0.585</cdr:x>
      <cdr:y>0.66419</cdr:y>
    </cdr:to>
    <cdr:pic>
      <cdr:nvPicPr>
        <cdr:cNvPr id="4" name="Graphic 3" descr="Two women with solid fill">
          <a:extLst xmlns:a="http://schemas.openxmlformats.org/drawingml/2006/main">
            <a:ext uri="{FF2B5EF4-FFF2-40B4-BE49-F238E27FC236}">
              <a16:creationId xmlns:a16="http://schemas.microsoft.com/office/drawing/2014/main" id="{BF80C749-A488-1261-9837-16AAD3E0430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760220" y="1127760"/>
          <a:ext cx="914400" cy="914400"/>
        </a:xfrm>
        <a:prstGeom xmlns:a="http://schemas.openxmlformats.org/drawingml/2006/main" prst="rect">
          <a:avLst/>
        </a:prstGeom>
      </cdr:spPr>
    </cdr:pic>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321.416023495367" createdVersion="8" refreshedVersion="8" minRefreshableVersion="3" recordCount="41" xr:uid="{451291D4-BF2E-4B4B-923B-4E87E6C5BDAC}">
  <cacheSource type="worksheet">
    <worksheetSource name="Tableau93"/>
  </cacheSource>
  <cacheFields count="48">
    <cacheField name="Matricule" numFmtId="0">
      <sharedItems/>
    </cacheField>
    <cacheField name="Nom" numFmtId="0">
      <sharedItems/>
    </cacheField>
    <cacheField name="Prénom" numFmtId="0">
      <sharedItems/>
    </cacheField>
    <cacheField name="Date de Naissance" numFmtId="14">
      <sharedItems containsSemiMixedTypes="0" containsNonDate="0" containsDate="1" containsString="0" minDate="1988-07-18T00:00:00" maxDate="1999-02-16T00:00:00"/>
    </cacheField>
    <cacheField name="AGE" numFmtId="0">
      <sharedItems containsSemiMixedTypes="0" containsString="0" containsNumber="1" containsInteger="1" minValue="24" maxValue="35"/>
    </cacheField>
    <cacheField name="Tranche d'âge" numFmtId="0">
      <sharedItems/>
    </cacheField>
    <cacheField name="Sexe" numFmtId="0">
      <sharedItems count="2">
        <s v="Femme"/>
        <s v="Homme"/>
      </sharedItems>
    </cacheField>
    <cacheField name="Catégorie" numFmtId="0">
      <sharedItems count="6">
        <s v="Responsable"/>
        <s v="Opérateur"/>
        <s v="Cadre"/>
        <s v="Employé"/>
        <s v="Manager"/>
        <s v="Technicien"/>
      </sharedItems>
    </cacheField>
    <cacheField name="Département" numFmtId="14">
      <sharedItems count="11">
        <s v="Finance"/>
        <s v="Méthode"/>
        <s v="Production"/>
        <s v="Qualité"/>
        <s v="Rh"/>
        <s v="CSP"/>
        <s v="Commercial"/>
        <s v="Direction"/>
        <s v="Achat"/>
        <s v="IT"/>
        <s v="Supply chain"/>
      </sharedItems>
    </cacheField>
    <cacheField name="Date Embauche" numFmtId="14">
      <sharedItems containsSemiMixedTypes="0" containsNonDate="0" containsDate="1" containsString="0" minDate="2019-01-01T00:00:00" maxDate="2023-06-08T00:00:00" count="10">
        <d v="2019-01-01T00:00:00"/>
        <d v="2021-08-06T00:00:00"/>
        <d v="2022-08-06T00:00:00"/>
        <d v="2022-12-10T00:00:00"/>
        <d v="2023-04-03T00:00:00"/>
        <d v="2023-05-06T00:00:00"/>
        <d v="2023-06-05T00:00:00"/>
        <d v="2023-03-03T00:00:00"/>
        <d v="2023-06-06T00:00:00"/>
        <d v="2023-06-07T00:00:00"/>
      </sharedItems>
      <fieldGroup par="47"/>
    </cacheField>
    <cacheField name="Anciennete" numFmtId="0">
      <sharedItems containsSemiMixedTypes="0" containsString="0" containsNumber="1" containsInteger="1" minValue="0" maxValue="5"/>
    </cacheField>
    <cacheField name="Tranche Ancienneté" numFmtId="0">
      <sharedItems/>
    </cacheField>
    <cacheField name="ADRESSE" numFmtId="0">
      <sharedItems containsSemiMixedTypes="0" containsString="0" containsNumber="1" containsInteger="1" minValue="436" maxValue="19504"/>
    </cacheField>
    <cacheField name="Numero CIN" numFmtId="2">
      <sharedItems/>
    </cacheField>
    <cacheField name="SITUATION MATRIMONIALE" numFmtId="0">
      <sharedItems/>
    </cacheField>
    <cacheField name="Nombre d'enfants" numFmtId="0">
      <sharedItems containsSemiMixedTypes="0" containsString="0" containsNumber="1" containsInteger="1" minValue="0" maxValue="4"/>
    </cacheField>
    <cacheField name="Numéro téléphone domicile" numFmtId="2">
      <sharedItems/>
    </cacheField>
    <cacheField name="MAIL" numFmtId="0">
      <sharedItems/>
    </cacheField>
    <cacheField name="Lieu de Naissance" numFmtId="0">
      <sharedItems/>
    </cacheField>
    <cacheField name="Code Postal" numFmtId="0">
      <sharedItems containsSemiMixedTypes="0" containsString="0" containsNumber="1" containsInteger="1" minValue="11438" maxValue="95554"/>
    </cacheField>
    <cacheField name="Régime horaire" numFmtId="0">
      <sharedItems/>
    </cacheField>
    <cacheField name="Mode de paiement" numFmtId="0">
      <sharedItems/>
    </cacheField>
    <cacheField name="Banque " numFmtId="0">
      <sharedItems/>
    </cacheField>
    <cacheField name="Numero Carte banquaire" numFmtId="0">
      <sharedItems/>
    </cacheField>
    <cacheField name="Date Fin Contrat" numFmtId="14">
      <sharedItems containsSemiMixedTypes="0" containsNonDate="0" containsDate="1" containsString="0" minDate="2040-11-26T00:00:00" maxDate="2045-05-03T00:00:00"/>
    </cacheField>
    <cacheField name="Qualification" numFmtId="0">
      <sharedItems/>
    </cacheField>
    <cacheField name="Contrat" numFmtId="14">
      <sharedItems/>
    </cacheField>
    <cacheField name="Heure sup" numFmtId="1">
      <sharedItems containsSemiMixedTypes="0" containsString="0" containsNumber="1" containsInteger="1" minValue="0" maxValue="45"/>
    </cacheField>
    <cacheField name="Absence" numFmtId="1">
      <sharedItems containsSemiMixedTypes="0" containsString="0" containsNumber="1" containsInteger="1" minValue="0" maxValue="15"/>
    </cacheField>
    <cacheField name="Montant Avance" numFmtId="1">
      <sharedItems containsSemiMixedTypes="0" containsString="0" containsNumber="1" containsInteger="1" minValue="0" maxValue="15600"/>
    </cacheField>
    <cacheField name="IDEMNITE PRIME" numFmtId="1">
      <sharedItems containsSemiMixedTypes="0" containsString="0" containsNumber="1" containsInteger="1" minValue="0" maxValue="165000"/>
    </cacheField>
    <cacheField name="salaire horaire" numFmtId="2">
      <sharedItems containsSemiMixedTypes="0" containsString="0" containsNumber="1" minValue="282" maxValue="3809.9500000000003"/>
    </cacheField>
    <cacheField name="SALAIRE HORAIRE DEFALQUE ABSENCE" numFmtId="1">
      <sharedItems containsSemiMixedTypes="0" containsString="0" containsNumber="1" minValue="0" maxValue="27686.25"/>
    </cacheField>
    <cacheField name="SALAIRE HEURE SUP" numFmtId="1">
      <sharedItems containsSemiMixedTypes="0" containsString="0" containsNumber="1" minValue="0" maxValue="27686.25"/>
    </cacheField>
    <cacheField name="SALAIRE BRUT" numFmtId="1">
      <sharedItems containsSemiMixedTypes="0" containsString="0" containsNumber="1" minValue="45120" maxValue="609592"/>
    </cacheField>
    <cacheField name="SALAIRE BRUT DEFALQUE AVANCE" numFmtId="1">
      <sharedItems containsSemiMixedTypes="0" containsString="0" containsNumber="1" minValue="45120" maxValue="609592"/>
    </cacheField>
    <cacheField name="CSG" numFmtId="1">
      <sharedItems containsSemiMixedTypes="0" containsString="0" containsNumber="1" minValue="1082.8800000000001" maxValue="14630.208000000001"/>
    </cacheField>
    <cacheField name="CRDS" numFmtId="1">
      <sharedItems containsSemiMixedTypes="0" containsString="0" containsNumber="1" minValue="225.6" maxValue="3047.96"/>
    </cacheField>
    <cacheField name="ASSURANCE" numFmtId="1">
      <sharedItems containsSemiMixedTypes="0" containsString="0" containsNumber="1" minValue="1579.2" maxValue="21335.72"/>
    </cacheField>
    <cacheField name="ALLOCATIONS FAMILIALES" numFmtId="1">
      <sharedItems containsSemiMixedTypes="0" containsString="0" containsNumber="1" minValue="767.04" maxValue="10363.064"/>
    </cacheField>
    <cacheField name="AIDE AU LOGEMENT" numFmtId="1">
      <sharedItems containsSemiMixedTypes="0" containsString="0" containsNumber="1" minValue="2436.4800000000005" maxValue="32917.968000000001"/>
    </cacheField>
    <cacheField name="IMPOT SUR LE REVENU" numFmtId="1">
      <sharedItems containsSemiMixedTypes="0" containsString="0" containsNumber="1" minValue="11731.2" maxValue="158493.92000000001"/>
    </cacheField>
    <cacheField name="SECURITE SOCIALE" numFmtId="1">
      <sharedItems containsSemiMixedTypes="0" containsString="0" containsNumber="1" minValue="1037.7599999999998" maxValue="14020.615999999998"/>
    </cacheField>
    <cacheField name="CIPRES" numFmtId="1">
      <sharedItems containsSemiMixedTypes="0" containsString="0" containsNumber="1" minValue="1128" maxValue="15239.8"/>
    </cacheField>
    <cacheField name="SALAIRE NET" numFmtId="1">
      <sharedItems containsSemiMixedTypes="0" containsString="0" containsNumber="1" minValue="25131.840000000004" maxValue="339542.74400000006"/>
    </cacheField>
    <cacheField name="Months (Date Embauche)" numFmtId="0" databaseField="0">
      <fieldGroup base="9">
        <rangePr groupBy="months" startDate="2019-01-01T00:00:00" endDate="2023-06-08T00:00:00"/>
        <groupItems count="14">
          <s v="&lt;01/01/2019"/>
          <s v="janv"/>
          <s v="févr"/>
          <s v="mars"/>
          <s v="avr"/>
          <s v="mai"/>
          <s v="juin"/>
          <s v="juil"/>
          <s v="août"/>
          <s v="sept"/>
          <s v="oct"/>
          <s v="nov"/>
          <s v="déc"/>
          <s v="&gt;08/06/2023"/>
        </groupItems>
      </fieldGroup>
    </cacheField>
    <cacheField name="Quarters (Date Embauche)" numFmtId="0" databaseField="0">
      <fieldGroup base="9">
        <rangePr groupBy="quarters" startDate="2019-01-01T00:00:00" endDate="2023-06-08T00:00:00"/>
        <groupItems count="6">
          <s v="&lt;01/01/2019"/>
          <s v="Qtr1"/>
          <s v="Qtr2"/>
          <s v="Qtr3"/>
          <s v="Qtr4"/>
          <s v="&gt;08/06/2023"/>
        </groupItems>
      </fieldGroup>
    </cacheField>
    <cacheField name="Years (Date Embauche)" numFmtId="0" databaseField="0">
      <fieldGroup base="9">
        <rangePr groupBy="years" startDate="2019-01-01T00:00:00" endDate="2023-06-08T00:00:00"/>
        <groupItems count="7">
          <s v="&lt;01/01/2019"/>
          <s v="2019"/>
          <s v="2020"/>
          <s v="2021"/>
          <s v="2022"/>
          <s v="2023"/>
          <s v="&gt;08/06/2023"/>
        </groupItems>
      </fieldGroup>
    </cacheField>
  </cacheFields>
  <extLst>
    <ext xmlns:x14="http://schemas.microsoft.com/office/spreadsheetml/2009/9/main" uri="{725AE2AE-9491-48be-B2B4-4EB974FC3084}">
      <x14:pivotCacheDefinition pivotCacheId="20695619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
  <r>
    <s v="AA-001"/>
    <s v="Laure"/>
    <s v="Sarah"/>
    <d v="1993-08-15T00:00:00"/>
    <n v="30"/>
    <s v="0-30"/>
    <x v="0"/>
    <x v="0"/>
    <x v="0"/>
    <x v="0"/>
    <n v="5"/>
    <s v="[5;12["/>
    <n v="15647"/>
    <s v="5355199301660"/>
    <s v="mariée"/>
    <n v="4"/>
    <s v="769184292"/>
    <s v="SarahLaure@gmail.com"/>
    <s v="Dakar"/>
    <n v="60771"/>
    <s v="temps plein"/>
    <s v="Paiement par virement"/>
    <s v="SGBS"/>
    <s v="769184292158"/>
    <d v="2040-11-26T00:00:00"/>
    <s v="MOI"/>
    <s v="CDI"/>
    <n v="0"/>
    <n v="0"/>
    <n v="0"/>
    <n v="0"/>
    <n v="3809.9500000000003"/>
    <n v="0"/>
    <n v="0"/>
    <n v="609592"/>
    <n v="609592"/>
    <n v="14630.208000000001"/>
    <n v="3047.96"/>
    <n v="21335.72"/>
    <n v="10363.064"/>
    <n v="32917.968000000001"/>
    <n v="158493.92000000001"/>
    <n v="14020.615999999998"/>
    <n v="15239.8"/>
    <n v="339542.74400000006"/>
  </r>
  <r>
    <s v="AA-002"/>
    <s v="Niang"/>
    <s v="Amadou"/>
    <d v="1991-06-15T00:00:00"/>
    <n v="32"/>
    <s v="30-40"/>
    <x v="1"/>
    <x v="0"/>
    <x v="1"/>
    <x v="0"/>
    <n v="5"/>
    <s v="[5;12["/>
    <n v="8789"/>
    <s v="4860199101660"/>
    <s v="célibataire"/>
    <n v="0"/>
    <s v="773549545"/>
    <s v="AmadouNiang@gmail.com"/>
    <s v="Thiès"/>
    <n v="63696"/>
    <s v="temps partiel"/>
    <s v="Paiement par cash"/>
    <s v="BOA"/>
    <s v="773549545158"/>
    <d v="2040-11-26T00:00:00"/>
    <s v="MOI"/>
    <s v="CDI"/>
    <n v="0"/>
    <n v="0"/>
    <n v="0"/>
    <n v="0"/>
    <n v="1242"/>
    <n v="0"/>
    <n v="0"/>
    <n v="198720"/>
    <n v="198720"/>
    <n v="4769.28"/>
    <n v="993.6"/>
    <n v="6955.2"/>
    <n v="3378.24"/>
    <n v="10730.88"/>
    <n v="51667.199999999997"/>
    <n v="4570.5599999999995"/>
    <n v="4968"/>
    <n v="110687.03999999999"/>
  </r>
  <r>
    <s v="AA-003"/>
    <s v="Diaw"/>
    <s v="Awa "/>
    <d v="1995-08-03T00:00:00"/>
    <n v="28"/>
    <s v="0-30"/>
    <x v="0"/>
    <x v="1"/>
    <x v="2"/>
    <x v="0"/>
    <n v="5"/>
    <s v="[5;12["/>
    <n v="19170"/>
    <s v="9262199501660"/>
    <s v="célibataire"/>
    <n v="0"/>
    <s v="767010846"/>
    <s v="Awa Diaw@gmail.com"/>
    <s v="Dakar"/>
    <n v="32132"/>
    <s v="temps plein"/>
    <s v="Paiement par cash"/>
    <s v="BICIS"/>
    <s v="767010846157"/>
    <d v="2040-11-26T00:00:00"/>
    <s v="MOD"/>
    <s v="CDI"/>
    <n v="0"/>
    <n v="0"/>
    <n v="0"/>
    <n v="0"/>
    <n v="615.25"/>
    <n v="0"/>
    <n v="0"/>
    <n v="98440"/>
    <n v="98440"/>
    <n v="2362.56"/>
    <n v="492.2"/>
    <n v="3445.4"/>
    <n v="1673.48"/>
    <n v="5315.76"/>
    <n v="25594.400000000001"/>
    <n v="2264.12"/>
    <n v="2461"/>
    <n v="54831.080000000016"/>
  </r>
  <r>
    <s v="AA-004"/>
    <s v="Niass"/>
    <s v="Ahmadou"/>
    <d v="1995-05-23T00:00:00"/>
    <n v="28"/>
    <s v="0-30"/>
    <x v="1"/>
    <x v="1"/>
    <x v="2"/>
    <x v="0"/>
    <n v="5"/>
    <s v="[5;12["/>
    <n v="13975"/>
    <s v="1039199501660"/>
    <s v="célibataire"/>
    <n v="0"/>
    <s v="779253184"/>
    <s v="AhmadouNiass@gmail.com"/>
    <s v="Fatick"/>
    <n v="80532"/>
    <s v="temps plein"/>
    <s v="Paiement par virement"/>
    <s v="BOA"/>
    <s v="779253184151"/>
    <d v="2040-11-26T00:00:00"/>
    <s v="MOD"/>
    <s v="CDI"/>
    <n v="0"/>
    <n v="0"/>
    <n v="0"/>
    <n v="0"/>
    <n v="615.25"/>
    <n v="0"/>
    <n v="0"/>
    <n v="98440"/>
    <n v="98440"/>
    <n v="2362.56"/>
    <n v="492.2"/>
    <n v="3445.4"/>
    <n v="1673.48"/>
    <n v="5315.76"/>
    <n v="25594.400000000001"/>
    <n v="2264.12"/>
    <n v="2461"/>
    <n v="54831.080000000016"/>
  </r>
  <r>
    <s v="AA-005"/>
    <s v="Ngoumtsa"/>
    <s v="Célina"/>
    <d v="1988-07-18T00:00:00"/>
    <n v="35"/>
    <s v="30-40"/>
    <x v="1"/>
    <x v="1"/>
    <x v="2"/>
    <x v="0"/>
    <n v="5"/>
    <s v="[5;12["/>
    <n v="5191"/>
    <s v="4127198801660"/>
    <s v="célibataire"/>
    <n v="0"/>
    <s v="786422788"/>
    <s v="CélinaNgoumtsa@gmail.com"/>
    <s v="Saint-Louis"/>
    <n v="64842"/>
    <s v="temps plein"/>
    <s v="Paiement par virement"/>
    <s v="SGBS"/>
    <s v="786422788155"/>
    <d v="2040-11-26T00:00:00"/>
    <s v="MOD"/>
    <s v="CDI"/>
    <n v="45"/>
    <n v="15"/>
    <n v="0"/>
    <n v="130000"/>
    <n v="615.25"/>
    <n v="27686.25"/>
    <n v="27686.25"/>
    <n v="98440"/>
    <n v="98440"/>
    <n v="2362.56"/>
    <n v="492.2"/>
    <n v="3445.4"/>
    <n v="1673.48"/>
    <n v="5315.76"/>
    <n v="25594.400000000001"/>
    <n v="2264.12"/>
    <n v="2461"/>
    <n v="54831.080000000016"/>
  </r>
  <r>
    <s v="AA-006"/>
    <s v="Dieng"/>
    <s v="Samba "/>
    <d v="1993-08-15T00:00:00"/>
    <n v="30"/>
    <s v="0-30"/>
    <x v="1"/>
    <x v="1"/>
    <x v="2"/>
    <x v="0"/>
    <n v="5"/>
    <s v="[5;12["/>
    <n v="7135"/>
    <s v="4185199301660"/>
    <s v="marié"/>
    <n v="2"/>
    <s v="776414089"/>
    <s v="Samba Dieng@gmail.com"/>
    <s v="Thiès"/>
    <n v="41243"/>
    <s v="temps plein"/>
    <s v="Paiement par virement"/>
    <s v="BICIS"/>
    <s v="776414089159"/>
    <d v="2040-11-26T00:00:00"/>
    <s v="MOD"/>
    <s v="CDI"/>
    <n v="0"/>
    <n v="12"/>
    <n v="0"/>
    <n v="0"/>
    <n v="615.25"/>
    <n v="0"/>
    <n v="0"/>
    <n v="98440"/>
    <n v="98440"/>
    <n v="2362.56"/>
    <n v="492.2"/>
    <n v="3445.4"/>
    <n v="1673.48"/>
    <n v="5315.76"/>
    <n v="25594.400000000001"/>
    <n v="2264.12"/>
    <n v="2461"/>
    <n v="54831.080000000016"/>
  </r>
  <r>
    <s v="AA-007"/>
    <s v="Kane"/>
    <s v="Salam"/>
    <d v="1996-08-23T00:00:00"/>
    <n v="27"/>
    <s v="0-30"/>
    <x v="0"/>
    <x v="1"/>
    <x v="2"/>
    <x v="0"/>
    <n v="5"/>
    <s v="[5;12["/>
    <n v="15141"/>
    <s v="8337199601660"/>
    <s v="célibataire"/>
    <n v="0"/>
    <s v="763970714"/>
    <s v="SalamKane@gmail.com"/>
    <s v="kolda"/>
    <n v="23330"/>
    <s v="temps plein"/>
    <s v="Paiement par virement"/>
    <s v="SGBS"/>
    <s v="763970714151"/>
    <d v="2040-11-26T00:00:00"/>
    <s v="MOD"/>
    <s v="CDI"/>
    <n v="39"/>
    <n v="0"/>
    <n v="0"/>
    <n v="0"/>
    <n v="615.25"/>
    <n v="23994.75"/>
    <n v="23994.75"/>
    <n v="98440"/>
    <n v="98440"/>
    <n v="2362.56"/>
    <n v="492.2"/>
    <n v="3445.4"/>
    <n v="1673.48"/>
    <n v="5315.76"/>
    <n v="25594.400000000001"/>
    <n v="2264.12"/>
    <n v="2461"/>
    <n v="54831.080000000016"/>
  </r>
  <r>
    <s v="AA-008"/>
    <s v="Diakhaté"/>
    <s v="Khadidiatou "/>
    <d v="1999-02-15T00:00:00"/>
    <n v="24"/>
    <s v="0-30"/>
    <x v="0"/>
    <x v="1"/>
    <x v="2"/>
    <x v="0"/>
    <n v="5"/>
    <s v="[5;12["/>
    <n v="1393"/>
    <s v="2787199901660"/>
    <s v="mariée"/>
    <n v="4"/>
    <s v="784662657"/>
    <s v="Khadidiatou Diakhaté@gmail.com"/>
    <s v="Fatick"/>
    <n v="73325"/>
    <s v="temps plein"/>
    <s v="Paiement par virement"/>
    <s v="BICIS"/>
    <s v="784662657154"/>
    <d v="2040-11-26T00:00:00"/>
    <s v="MOD"/>
    <s v="CDI"/>
    <n v="0"/>
    <n v="0"/>
    <n v="0"/>
    <n v="30000"/>
    <n v="615.25"/>
    <n v="0"/>
    <n v="0"/>
    <n v="98440"/>
    <n v="98440"/>
    <n v="2362.56"/>
    <n v="492.2"/>
    <n v="3445.4"/>
    <n v="1673.48"/>
    <n v="5315.76"/>
    <n v="25594.400000000001"/>
    <n v="2264.12"/>
    <n v="2461"/>
    <n v="54831.080000000016"/>
  </r>
  <r>
    <s v="AA-009"/>
    <s v="Bousso"/>
    <s v="Mame Balla"/>
    <d v="1989-08-23T00:00:00"/>
    <n v="34"/>
    <s v="30-40"/>
    <x v="0"/>
    <x v="2"/>
    <x v="3"/>
    <x v="0"/>
    <n v="5"/>
    <s v="[5;12["/>
    <n v="7056"/>
    <s v="9362198901660"/>
    <s v="marié"/>
    <n v="3"/>
    <s v="761630561"/>
    <s v="Mame BallaBousso@gmail.com"/>
    <s v="Diourbel"/>
    <n v="11656"/>
    <s v="temps plein"/>
    <s v="Paiement par virement"/>
    <s v="BICIS"/>
    <s v="761630561151"/>
    <d v="2040-11-26T00:00:00"/>
    <s v="MOI"/>
    <s v="CDI"/>
    <n v="0"/>
    <n v="0"/>
    <n v="0"/>
    <n v="0"/>
    <n v="934.94999999999993"/>
    <n v="0"/>
    <n v="0"/>
    <n v="149592"/>
    <n v="149592"/>
    <n v="3590.2080000000001"/>
    <n v="747.96"/>
    <n v="5235.72"/>
    <n v="2543.0639999999999"/>
    <n v="8077.9680000000008"/>
    <n v="38893.919999999998"/>
    <n v="3440.616"/>
    <n v="3739.8"/>
    <n v="83322.743999999992"/>
  </r>
  <r>
    <s v="AA-010"/>
    <s v="Sène"/>
    <s v="Malick "/>
    <d v="1993-08-15T00:00:00"/>
    <n v="30"/>
    <s v="0-30"/>
    <x v="0"/>
    <x v="3"/>
    <x v="4"/>
    <x v="0"/>
    <n v="5"/>
    <s v="[5;12["/>
    <n v="864"/>
    <s v="1952199301660"/>
    <s v="célibataire"/>
    <n v="0"/>
    <s v="769379747"/>
    <s v="Malick Sène@gmail.com"/>
    <s v="Tambacounda"/>
    <n v="11438"/>
    <s v="temps plein"/>
    <s v="Paiement par virement"/>
    <s v="SGBS"/>
    <s v="769379747158"/>
    <d v="2040-11-26T00:00:00"/>
    <s v="MOI"/>
    <s v="CDI"/>
    <n v="0"/>
    <n v="0"/>
    <n v="0"/>
    <n v="0"/>
    <n v="615.25"/>
    <n v="0"/>
    <n v="0"/>
    <n v="98440"/>
    <n v="98440"/>
    <n v="2362.56"/>
    <n v="492.2"/>
    <n v="3445.4"/>
    <n v="1673.48"/>
    <n v="5315.76"/>
    <n v="25594.400000000001"/>
    <n v="2264.12"/>
    <n v="2461"/>
    <n v="54831.080000000016"/>
  </r>
  <r>
    <s v="AA-011"/>
    <s v="Ndong"/>
    <s v="Tamsir "/>
    <d v="1991-06-15T00:00:00"/>
    <n v="32"/>
    <s v="30-40"/>
    <x v="1"/>
    <x v="1"/>
    <x v="2"/>
    <x v="0"/>
    <n v="5"/>
    <s v="[5;12["/>
    <n v="8407"/>
    <s v="6877199101660"/>
    <s v="célibataire"/>
    <n v="0"/>
    <s v="788518261"/>
    <s v="Tamsir Ndong@gmail.com"/>
    <s v="Saint-Louis"/>
    <n v="19801"/>
    <s v="temps plein"/>
    <s v="Paiement par virement"/>
    <s v="BOA"/>
    <s v="788518261154"/>
    <d v="2040-11-26T00:00:00"/>
    <s v="MOD"/>
    <s v="CDI"/>
    <n v="5"/>
    <n v="0"/>
    <n v="0"/>
    <n v="0"/>
    <n v="615.25"/>
    <n v="3076.25"/>
    <n v="3076.25"/>
    <n v="98440"/>
    <n v="98440"/>
    <n v="2362.56"/>
    <n v="492.2"/>
    <n v="3445.4"/>
    <n v="1673.48"/>
    <n v="5315.76"/>
    <n v="25594.400000000001"/>
    <n v="2264.12"/>
    <n v="2461"/>
    <n v="54831.080000000016"/>
  </r>
  <r>
    <s v="AA-012"/>
    <s v="De La Flèche"/>
    <s v="Jeanne"/>
    <d v="1995-08-03T00:00:00"/>
    <n v="28"/>
    <s v="0-30"/>
    <x v="1"/>
    <x v="1"/>
    <x v="2"/>
    <x v="0"/>
    <n v="5"/>
    <s v="[5;12["/>
    <n v="17806"/>
    <s v="7577199501660"/>
    <s v="mariée"/>
    <n v="2"/>
    <s v="771469363"/>
    <s v="JeanneDe La Flèche@gmail.com"/>
    <s v="Fatick"/>
    <n v="95554"/>
    <s v="temps plein"/>
    <s v="Paiement par virement"/>
    <s v="BOA"/>
    <s v="771469363158"/>
    <d v="2040-11-26T00:00:00"/>
    <s v="MOD"/>
    <s v="CDI"/>
    <n v="0"/>
    <n v="0"/>
    <n v="0"/>
    <n v="0"/>
    <n v="615.25"/>
    <n v="0"/>
    <n v="0"/>
    <n v="98440"/>
    <n v="98440"/>
    <n v="2362.56"/>
    <n v="492.2"/>
    <n v="3445.4"/>
    <n v="1673.48"/>
    <n v="5315.76"/>
    <n v="25594.400000000001"/>
    <n v="2264.12"/>
    <n v="2461"/>
    <n v="54831.080000000016"/>
  </r>
  <r>
    <s v="AA-013"/>
    <s v="Faye"/>
    <s v="Ameth "/>
    <d v="1995-05-23T00:00:00"/>
    <n v="28"/>
    <s v="0-30"/>
    <x v="1"/>
    <x v="3"/>
    <x v="5"/>
    <x v="0"/>
    <n v="5"/>
    <s v="[5;12["/>
    <n v="436"/>
    <s v="9534199501660"/>
    <s v="marié"/>
    <n v="4"/>
    <s v="771041879"/>
    <s v="Ameth Faye@gmail.com"/>
    <s v="Dakar"/>
    <n v="58497"/>
    <s v="temps partiel"/>
    <s v="Paiement par virement"/>
    <s v="BICIS"/>
    <s v="771041879153"/>
    <d v="2040-11-26T00:00:00"/>
    <s v="MOI"/>
    <s v="CDI"/>
    <n v="0"/>
    <n v="5"/>
    <n v="0"/>
    <n v="0"/>
    <n v="324.29999999999995"/>
    <n v="0"/>
    <n v="0"/>
    <n v="51887.999999999993"/>
    <n v="51887.999999999993"/>
    <n v="1245.3119999999999"/>
    <n v="259.43999999999994"/>
    <n v="1816.0799999999997"/>
    <n v="882.09599999999989"/>
    <n v="2801.9519999999993"/>
    <n v="13490.879999999997"/>
    <n v="1193.4239999999998"/>
    <n v="1297.1999999999998"/>
    <n v="28901.615999999998"/>
  </r>
  <r>
    <s v="AA-014"/>
    <s v="Edima"/>
    <s v="Hildegarde"/>
    <d v="1988-07-18T00:00:00"/>
    <n v="35"/>
    <s v="30-40"/>
    <x v="0"/>
    <x v="4"/>
    <x v="6"/>
    <x v="0"/>
    <n v="5"/>
    <s v="[5;12["/>
    <n v="14186"/>
    <s v="5232198801660"/>
    <s v="mariée"/>
    <n v="2"/>
    <s v="765451988"/>
    <s v="HildegardeEdima@gmail.com"/>
    <s v="Dakar"/>
    <n v="37355"/>
    <s v="temps plein"/>
    <s v="Paiement par virement"/>
    <s v="BICIS"/>
    <s v="765451988156"/>
    <d v="2040-11-26T00:00:00"/>
    <s v="MOI"/>
    <s v="CDI"/>
    <n v="0"/>
    <n v="0"/>
    <n v="0"/>
    <n v="0"/>
    <n v="664.69999999999993"/>
    <n v="0"/>
    <n v="0"/>
    <n v="106351.99999999999"/>
    <n v="106351.99999999999"/>
    <n v="2552.4479999999994"/>
    <n v="531.75999999999988"/>
    <n v="3722.3199999999993"/>
    <n v="1807.9839999999997"/>
    <n v="5743.0079999999989"/>
    <n v="27651.519999999997"/>
    <n v="2446.0959999999995"/>
    <n v="2658.7999999999993"/>
    <n v="59238.063999999998"/>
  </r>
  <r>
    <s v="AA-015"/>
    <s v="Emilson"/>
    <s v="Ange"/>
    <d v="1993-08-15T00:00:00"/>
    <n v="30"/>
    <s v="0-30"/>
    <x v="1"/>
    <x v="0"/>
    <x v="4"/>
    <x v="0"/>
    <n v="5"/>
    <s v="[5;12["/>
    <n v="17720"/>
    <s v="3534199301660"/>
    <s v="marié"/>
    <n v="2"/>
    <s v="765593172"/>
    <s v="AngeEmilson@gmail.com"/>
    <s v="Saint-Louis"/>
    <n v="12613"/>
    <s v="temps plein"/>
    <s v="Paiement par virement"/>
    <s v="BICIS"/>
    <s v="765593172159"/>
    <d v="2040-11-26T00:00:00"/>
    <s v="MOI"/>
    <s v="CDI"/>
    <n v="0"/>
    <n v="0"/>
    <n v="0"/>
    <n v="0"/>
    <n v="2611.6500000000005"/>
    <n v="0"/>
    <n v="0"/>
    <n v="417864.00000000012"/>
    <n v="417864.00000000012"/>
    <n v="10028.736000000003"/>
    <n v="2089.3200000000006"/>
    <n v="14625.240000000005"/>
    <n v="7103.6880000000019"/>
    <n v="22564.656000000006"/>
    <n v="108644.64000000004"/>
    <n v="9610.8720000000012"/>
    <n v="10446.600000000002"/>
    <n v="232750.24800000005"/>
  </r>
  <r>
    <s v="AA-016"/>
    <s v="Coulibaly"/>
    <s v="Khadidiatou "/>
    <d v="1996-08-23T00:00:00"/>
    <n v="27"/>
    <s v="0-30"/>
    <x v="1"/>
    <x v="1"/>
    <x v="2"/>
    <x v="0"/>
    <n v="5"/>
    <s v="[5;12["/>
    <n v="19504"/>
    <s v="9741199601660"/>
    <s v="mariée"/>
    <n v="2"/>
    <s v="789957175"/>
    <s v="Khadidiatou Coulibaly@gmail.com"/>
    <s v="Fatick"/>
    <n v="75378"/>
    <s v="temps partiel"/>
    <s v="Paiement par cash"/>
    <s v="BOA"/>
    <s v="789957175159"/>
    <d v="2040-11-26T00:00:00"/>
    <s v="MOD"/>
    <s v="CDI"/>
    <n v="0"/>
    <n v="0"/>
    <n v="0"/>
    <n v="0"/>
    <n v="615.25"/>
    <n v="0"/>
    <n v="0"/>
    <n v="98440"/>
    <n v="98440"/>
    <n v="2362.56"/>
    <n v="492.2"/>
    <n v="3445.4"/>
    <n v="1673.48"/>
    <n v="5315.76"/>
    <n v="25594.400000000001"/>
    <n v="2264.12"/>
    <n v="2461"/>
    <n v="54831.080000000016"/>
  </r>
  <r>
    <s v="AA-017"/>
    <s v="Diallo"/>
    <s v="Mamadou"/>
    <d v="1999-02-15T00:00:00"/>
    <n v="24"/>
    <s v="0-30"/>
    <x v="0"/>
    <x v="1"/>
    <x v="2"/>
    <x v="0"/>
    <n v="5"/>
    <s v="[5;12["/>
    <n v="13344"/>
    <s v="8031199901660"/>
    <s v="célibataire"/>
    <n v="0"/>
    <s v="766322523"/>
    <s v="MamadouDiallo@gmail.com"/>
    <s v="Tambacounda"/>
    <n v="90048"/>
    <s v="temps partiel"/>
    <s v="Paiement par virement"/>
    <s v="BICIS"/>
    <s v="766322523157"/>
    <d v="2040-11-26T00:00:00"/>
    <s v="MOD"/>
    <s v="CDI"/>
    <n v="0"/>
    <n v="0"/>
    <n v="0"/>
    <n v="0"/>
    <n v="615.25"/>
    <n v="0"/>
    <n v="0"/>
    <n v="98440"/>
    <n v="98440"/>
    <n v="2362.56"/>
    <n v="492.2"/>
    <n v="3445.4"/>
    <n v="1673.48"/>
    <n v="5315.76"/>
    <n v="25594.400000000001"/>
    <n v="2264.12"/>
    <n v="2461"/>
    <n v="54831.080000000016"/>
  </r>
  <r>
    <s v="AA-018"/>
    <s v="Tall"/>
    <s v="Fatimata "/>
    <d v="1989-08-23T00:00:00"/>
    <n v="34"/>
    <s v="30-40"/>
    <x v="1"/>
    <x v="4"/>
    <x v="7"/>
    <x v="0"/>
    <n v="5"/>
    <s v="[5;12["/>
    <n v="7065"/>
    <s v="5315198901660"/>
    <s v="mariée"/>
    <n v="4"/>
    <s v="766991844"/>
    <s v="Fatimata Tall@gmail.com"/>
    <s v="Thiès"/>
    <n v="32550"/>
    <s v="temps plein"/>
    <s v="Paiement par virement"/>
    <s v="SGBS"/>
    <s v="766991844159"/>
    <d v="2040-11-26T00:00:00"/>
    <s v="MOI"/>
    <s v="CDI"/>
    <n v="0"/>
    <n v="0"/>
    <n v="0"/>
    <n v="165000"/>
    <n v="2012.5"/>
    <n v="0"/>
    <n v="0"/>
    <n v="322000"/>
    <n v="322000"/>
    <n v="7728"/>
    <n v="1610"/>
    <n v="11270"/>
    <n v="5474"/>
    <n v="17388"/>
    <n v="83720"/>
    <n v="7406"/>
    <n v="8050"/>
    <n v="179354"/>
  </r>
  <r>
    <s v="AA-019"/>
    <s v="Ouedraogo"/>
    <s v="Faical"/>
    <d v="1993-08-15T00:00:00"/>
    <n v="30"/>
    <s v="0-30"/>
    <x v="1"/>
    <x v="3"/>
    <x v="8"/>
    <x v="1"/>
    <n v="2"/>
    <s v="[2-5["/>
    <n v="2249"/>
    <s v="6062199301660"/>
    <s v="marié"/>
    <n v="1"/>
    <s v="773638382"/>
    <s v="FaicalOuedraogo@gmail.com"/>
    <s v="Dakar"/>
    <n v="56202"/>
    <s v="temps plein"/>
    <s v="Paiement par cash"/>
    <s v="BICIS"/>
    <s v="773638382159"/>
    <d v="2043-07-02T00:00:00"/>
    <s v="MOI"/>
    <s v="CDI"/>
    <n v="0"/>
    <n v="0"/>
    <n v="0"/>
    <n v="0"/>
    <n v="327.54000000000002"/>
    <n v="0"/>
    <n v="0"/>
    <n v="52406.400000000001"/>
    <n v="52406.400000000001"/>
    <n v="1257.7536"/>
    <n v="262.03199999999998"/>
    <n v="1834.2239999999999"/>
    <n v="890.90880000000004"/>
    <n v="2829.9456"/>
    <n v="13625.664000000001"/>
    <n v="1205.3471999999999"/>
    <n v="1310.1600000000001"/>
    <n v="29190.364799999999"/>
  </r>
  <r>
    <s v="AA-020"/>
    <s v="Fa lo"/>
    <s v="Ibrahima"/>
    <d v="1991-06-15T00:00:00"/>
    <n v="32"/>
    <s v="30-40"/>
    <x v="0"/>
    <x v="0"/>
    <x v="9"/>
    <x v="2"/>
    <n v="1"/>
    <s v="[0-2["/>
    <n v="1736"/>
    <s v="9717199101660"/>
    <s v="célibataire"/>
    <n v="0"/>
    <s v="769626899"/>
    <s v="IbrahimaFa lo@gmail.com"/>
    <s v="Dakar"/>
    <n v="41387"/>
    <s v="temps partiel"/>
    <s v="Paiement par virement"/>
    <s v="BICIS"/>
    <s v="769626899150"/>
    <d v="2044-07-01T00:00:00"/>
    <s v="MOI"/>
    <s v="CDI"/>
    <n v="0"/>
    <n v="0"/>
    <n v="0"/>
    <n v="0"/>
    <n v="821.13"/>
    <n v="0"/>
    <n v="0"/>
    <n v="131380.79999999999"/>
    <n v="131380.79999999999"/>
    <n v="3153.1391999999996"/>
    <n v="656.904"/>
    <n v="4598.3279999999995"/>
    <n v="2233.4735999999998"/>
    <n v="7094.5631999999996"/>
    <n v="34159.008000000002"/>
    <n v="3021.7583999999997"/>
    <n v="3284.52"/>
    <n v="73179.105599999981"/>
  </r>
  <r>
    <s v="AA-021"/>
    <s v="Firhoun"/>
    <s v="Ahmed"/>
    <d v="1995-08-03T00:00:00"/>
    <n v="28"/>
    <s v="0-30"/>
    <x v="0"/>
    <x v="0"/>
    <x v="10"/>
    <x v="3"/>
    <n v="1"/>
    <s v="[0-2["/>
    <n v="9988"/>
    <s v="2723199501660"/>
    <s v="célibataire"/>
    <n v="0"/>
    <s v="784273375"/>
    <s v="AhmedFirhoun@gmail.com"/>
    <s v="Dakar"/>
    <n v="94599"/>
    <s v="temps plein"/>
    <s v="Paiement par cash"/>
    <s v="BOA"/>
    <s v="784273375150"/>
    <d v="2044-11-04T00:00:00"/>
    <s v="MOI"/>
    <s v="CDI"/>
    <n v="0"/>
    <n v="0"/>
    <n v="0"/>
    <n v="0"/>
    <n v="890.82"/>
    <n v="0"/>
    <n v="0"/>
    <n v="142531.20000000001"/>
    <n v="142531.20000000001"/>
    <n v="3420.7487999999998"/>
    <n v="712.65600000000006"/>
    <n v="4988.5920000000006"/>
    <n v="2423.0304000000001"/>
    <n v="7696.6848000000009"/>
    <n v="37058.112000000001"/>
    <n v="3278.2175999999999"/>
    <n v="3563.28"/>
    <n v="79389.878400000016"/>
  </r>
  <r>
    <s v="AA-022"/>
    <s v="Ba"/>
    <s v="Baba"/>
    <d v="1995-05-23T00:00:00"/>
    <n v="28"/>
    <s v="0-30"/>
    <x v="0"/>
    <x v="2"/>
    <x v="0"/>
    <x v="4"/>
    <n v="0"/>
    <s v="[0-2["/>
    <n v="18143"/>
    <s v="9721199501660"/>
    <s v="célibataire"/>
    <n v="0"/>
    <s v="761734378"/>
    <s v="BabaBa@gmail.com"/>
    <s v="Fatick"/>
    <n v="76146"/>
    <s v="temps partiel"/>
    <s v="Paiement par virement"/>
    <s v="SGBS"/>
    <s v="761734378154"/>
    <d v="2045-02-26T00:00:00"/>
    <s v="MOI"/>
    <s v="CDI"/>
    <n v="0"/>
    <n v="0"/>
    <n v="0"/>
    <n v="0"/>
    <n v="1750"/>
    <n v="0"/>
    <n v="0"/>
    <n v="280000"/>
    <n v="280000"/>
    <n v="6720"/>
    <n v="1400"/>
    <n v="9800"/>
    <n v="4760"/>
    <n v="15120"/>
    <n v="72800"/>
    <n v="6440"/>
    <n v="7000"/>
    <n v="155960"/>
  </r>
  <r>
    <s v="AA-023"/>
    <s v="Dème"/>
    <s v="Safiétou"/>
    <d v="1988-07-18T00:00:00"/>
    <n v="35"/>
    <s v="30-40"/>
    <x v="1"/>
    <x v="2"/>
    <x v="1"/>
    <x v="4"/>
    <n v="0"/>
    <s v="[0-2["/>
    <n v="17536"/>
    <s v="4036198801660"/>
    <s v="mariée"/>
    <n v="4"/>
    <s v="763011293"/>
    <s v="SafiétouDème@gmail.com"/>
    <s v="Sédhiou"/>
    <n v="93842"/>
    <s v="temps plein"/>
    <s v="Paiement par virement"/>
    <s v="BOA"/>
    <s v="763011293155"/>
    <d v="2045-02-26T00:00:00"/>
    <s v="MOI"/>
    <s v="CDI"/>
    <n v="0"/>
    <n v="0"/>
    <n v="0"/>
    <n v="0"/>
    <n v="634"/>
    <n v="0"/>
    <n v="0"/>
    <n v="101440"/>
    <n v="101440"/>
    <n v="2434.56"/>
    <n v="507.2"/>
    <n v="3550.4"/>
    <n v="1724.48"/>
    <n v="5477.76"/>
    <n v="26374.400000000001"/>
    <n v="2333.12"/>
    <n v="2536"/>
    <n v="56502.080000000016"/>
  </r>
  <r>
    <s v="AA-024"/>
    <s v="Ndiaye"/>
    <s v="Mame Thierno"/>
    <d v="1993-08-15T00:00:00"/>
    <n v="30"/>
    <s v="0-30"/>
    <x v="1"/>
    <x v="4"/>
    <x v="7"/>
    <x v="5"/>
    <n v="0"/>
    <s v="[0-2["/>
    <n v="4627"/>
    <s v="4758199301660"/>
    <s v="célibataire"/>
    <n v="0"/>
    <s v="778065693"/>
    <s v="Mame ThiernoNdiaye@gmail.com"/>
    <s v="Dakar"/>
    <n v="23665"/>
    <s v="temps plein"/>
    <s v="Paiement par virement"/>
    <s v="BICIS"/>
    <s v="778065693150"/>
    <d v="2045-03-31T00:00:00"/>
    <s v="MOI"/>
    <s v="CDI"/>
    <n v="0"/>
    <n v="0"/>
    <n v="0"/>
    <n v="0"/>
    <n v="1750"/>
    <n v="0"/>
    <n v="0"/>
    <n v="280000"/>
    <n v="280000"/>
    <n v="6720"/>
    <n v="1400"/>
    <n v="9800"/>
    <n v="4760"/>
    <n v="15120"/>
    <n v="72800"/>
    <n v="6440"/>
    <n v="7000"/>
    <n v="155960"/>
  </r>
  <r>
    <s v="AA-025"/>
    <s v="Compaoré"/>
    <s v="Bassirou"/>
    <d v="1996-08-23T00:00:00"/>
    <n v="27"/>
    <s v="0-30"/>
    <x v="1"/>
    <x v="1"/>
    <x v="2"/>
    <x v="6"/>
    <n v="0"/>
    <s v="[0-2["/>
    <n v="6937"/>
    <s v="8829199601660"/>
    <s v="célibataire"/>
    <n v="0"/>
    <s v="784129563"/>
    <s v="BassirouCompaoré@gmail.com"/>
    <s v="Thiès"/>
    <n v="46700"/>
    <s v="temps plein"/>
    <s v="Paiement par virement"/>
    <s v="BOA"/>
    <s v="784129563158"/>
    <d v="2045-04-30T00:00:00"/>
    <s v="MOD"/>
    <s v="CDD"/>
    <n v="0"/>
    <n v="0"/>
    <n v="0"/>
    <n v="0"/>
    <n v="535"/>
    <n v="0"/>
    <n v="0"/>
    <n v="85600"/>
    <n v="85600"/>
    <n v="2054.4"/>
    <n v="428"/>
    <n v="2996"/>
    <n v="1455.2"/>
    <n v="4622.4000000000005"/>
    <n v="22256"/>
    <n v="1968.7999999999997"/>
    <n v="2140"/>
    <n v="47679.200000000012"/>
  </r>
  <r>
    <s v="AA-026"/>
    <s v="Diop"/>
    <s v="Ousseynou"/>
    <d v="1999-02-15T00:00:00"/>
    <n v="24"/>
    <s v="0-30"/>
    <x v="0"/>
    <x v="1"/>
    <x v="2"/>
    <x v="6"/>
    <n v="0"/>
    <s v="[0-2["/>
    <n v="14919"/>
    <s v="5545199901660"/>
    <s v="célibataire"/>
    <n v="0"/>
    <s v="777575788"/>
    <s v="OusseynouDiop@gmail.com"/>
    <s v="kolda"/>
    <n v="47382"/>
    <s v="temps partiel"/>
    <s v="Paiement par virement"/>
    <s v="BICIS"/>
    <s v="777575788151"/>
    <d v="2045-04-30T00:00:00"/>
    <s v="MOD"/>
    <s v="CDD"/>
    <n v="0"/>
    <n v="0"/>
    <n v="0"/>
    <n v="0"/>
    <n v="535"/>
    <n v="0"/>
    <n v="0"/>
    <n v="85600"/>
    <n v="85600"/>
    <n v="2054.4"/>
    <n v="428"/>
    <n v="2996"/>
    <n v="1455.2"/>
    <n v="4622.4000000000005"/>
    <n v="22256"/>
    <n v="1968.7999999999997"/>
    <n v="2140"/>
    <n v="47679.200000000012"/>
  </r>
  <r>
    <s v="AA-027"/>
    <s v="Zaongo"/>
    <s v="Inoussa "/>
    <d v="1989-08-23T00:00:00"/>
    <n v="34"/>
    <s v="30-40"/>
    <x v="0"/>
    <x v="1"/>
    <x v="2"/>
    <x v="6"/>
    <n v="0"/>
    <s v="[0-2["/>
    <n v="10079"/>
    <s v="2054198901660"/>
    <s v="marié"/>
    <n v="3"/>
    <s v="762458485"/>
    <s v="Inoussa Zaongo@gmail.com"/>
    <s v="Saint-Louis"/>
    <n v="29634"/>
    <s v="temps plein"/>
    <s v="Paiement par cash"/>
    <s v="BICIS"/>
    <s v="762458485157"/>
    <d v="2045-04-30T00:00:00"/>
    <s v="MOD"/>
    <s v="INTERIM"/>
    <n v="0"/>
    <n v="0"/>
    <n v="0"/>
    <n v="65000"/>
    <n v="535"/>
    <n v="0"/>
    <n v="0"/>
    <n v="85600"/>
    <n v="85600"/>
    <n v="2054.4"/>
    <n v="428"/>
    <n v="2996"/>
    <n v="1455.2"/>
    <n v="4622.4000000000005"/>
    <n v="22256"/>
    <n v="1968.7999999999997"/>
    <n v="2140"/>
    <n v="47679.200000000012"/>
  </r>
  <r>
    <s v="AA-028"/>
    <s v="Farouk"/>
    <s v="Oumar "/>
    <d v="1993-08-15T00:00:00"/>
    <n v="30"/>
    <s v="0-30"/>
    <x v="1"/>
    <x v="1"/>
    <x v="2"/>
    <x v="6"/>
    <n v="0"/>
    <s v="[0-2["/>
    <n v="16108"/>
    <s v="4716199301660"/>
    <s v="marié"/>
    <n v="4"/>
    <s v="773763106"/>
    <s v="Oumar Farouk@gmail.com"/>
    <s v="Dakar"/>
    <n v="27500"/>
    <s v="temps plein"/>
    <s v="Paiement par virement"/>
    <s v="BICIS"/>
    <s v="773763106151"/>
    <d v="2045-04-30T00:00:00"/>
    <s v="MOD"/>
    <s v="INTERIM"/>
    <n v="0"/>
    <n v="0"/>
    <n v="0"/>
    <n v="0"/>
    <n v="535"/>
    <n v="0"/>
    <n v="0"/>
    <n v="85600"/>
    <n v="85600"/>
    <n v="2054.4"/>
    <n v="428"/>
    <n v="2996"/>
    <n v="1455.2"/>
    <n v="4622.4000000000005"/>
    <n v="22256"/>
    <n v="1968.7999999999997"/>
    <n v="2140"/>
    <n v="47679.200000000012"/>
  </r>
  <r>
    <s v="AA-029"/>
    <s v="Thiam"/>
    <s v="Omar"/>
    <d v="1991-06-15T00:00:00"/>
    <n v="32"/>
    <s v="30-40"/>
    <x v="1"/>
    <x v="0"/>
    <x v="2"/>
    <x v="0"/>
    <n v="5"/>
    <s v="[5;12["/>
    <n v="1764"/>
    <s v="6959199101660"/>
    <s v="marié"/>
    <n v="4"/>
    <s v="763791904"/>
    <s v="OmarThiam@gmail.com"/>
    <s v="Louga"/>
    <n v="94807"/>
    <s v="temps partiel"/>
    <s v="Paiement par virement"/>
    <s v="BOA"/>
    <s v="763791904159"/>
    <d v="2040-11-26T00:00:00"/>
    <s v="MOI"/>
    <s v="CDI"/>
    <n v="0"/>
    <n v="0"/>
    <n v="0"/>
    <n v="0"/>
    <n v="1413.35"/>
    <n v="0"/>
    <n v="0"/>
    <n v="226136"/>
    <n v="226136"/>
    <n v="5427.2640000000001"/>
    <n v="1130.68"/>
    <n v="7914.76"/>
    <n v="3844.3119999999999"/>
    <n v="12211.344000000001"/>
    <n v="58795.360000000001"/>
    <n v="5201.1279999999997"/>
    <n v="5653.4"/>
    <n v="125957.75199999998"/>
  </r>
  <r>
    <s v="AA-030"/>
    <s v="Konlambigue"/>
    <s v="Yamin"/>
    <d v="1995-08-03T00:00:00"/>
    <n v="28"/>
    <s v="0-30"/>
    <x v="0"/>
    <x v="3"/>
    <x v="5"/>
    <x v="7"/>
    <n v="0"/>
    <s v="[0-2["/>
    <n v="15629"/>
    <s v="8427199501660"/>
    <s v="marié"/>
    <n v="2"/>
    <s v="781805305"/>
    <s v="YaminKonlambigue@gmail.com"/>
    <s v="Tambacounda"/>
    <n v="50575"/>
    <s v="temps plein"/>
    <s v="Paiement par virement"/>
    <s v="BICIS"/>
    <s v="781805305156"/>
    <d v="2045-01-26T00:00:00"/>
    <s v="MOI"/>
    <s v="CDI"/>
    <n v="0"/>
    <n v="0"/>
    <n v="0"/>
    <n v="0"/>
    <n v="282"/>
    <n v="0"/>
    <n v="0"/>
    <n v="45120"/>
    <n v="45120"/>
    <n v="1082.8800000000001"/>
    <n v="225.6"/>
    <n v="1579.2"/>
    <n v="767.04"/>
    <n v="2436.4800000000005"/>
    <n v="11731.2"/>
    <n v="1037.7599999999998"/>
    <n v="1128"/>
    <n v="25131.840000000004"/>
  </r>
  <r>
    <s v="AA-031"/>
    <s v="Kpakou"/>
    <s v="Mouméné"/>
    <d v="1995-05-23T00:00:00"/>
    <n v="28"/>
    <s v="0-30"/>
    <x v="1"/>
    <x v="3"/>
    <x v="5"/>
    <x v="7"/>
    <n v="0"/>
    <s v="[0-2["/>
    <n v="5962"/>
    <s v="4726199501660"/>
    <s v="célibataire"/>
    <n v="0"/>
    <s v="784986925"/>
    <s v="MouménéKpakou@gmail.com"/>
    <s v="Dakar"/>
    <n v="75874"/>
    <s v="temps plein"/>
    <s v="Paiement par virement"/>
    <s v="SGBS"/>
    <s v="784986925150"/>
    <d v="2045-01-26T00:00:00"/>
    <s v="MOI"/>
    <s v="CDI"/>
    <n v="0"/>
    <n v="0"/>
    <n v="0"/>
    <n v="0"/>
    <n v="282"/>
    <n v="0"/>
    <n v="0"/>
    <n v="45120"/>
    <n v="45120"/>
    <n v="1082.8800000000001"/>
    <n v="225.6"/>
    <n v="1579.2"/>
    <n v="767.04"/>
    <n v="2436.4800000000005"/>
    <n v="11731.2"/>
    <n v="1037.7599999999998"/>
    <n v="1128"/>
    <n v="25131.840000000004"/>
  </r>
  <r>
    <s v="AA-032"/>
    <s v="Mbaye"/>
    <s v="Ababacar"/>
    <d v="1988-07-18T00:00:00"/>
    <n v="35"/>
    <s v="30-40"/>
    <x v="0"/>
    <x v="1"/>
    <x v="2"/>
    <x v="6"/>
    <n v="0"/>
    <s v="[0-2["/>
    <n v="6572"/>
    <s v="1876198801660"/>
    <s v="marié"/>
    <n v="2"/>
    <s v="785537574"/>
    <s v="AbabacarMbaye@gmail.com"/>
    <s v="Dakar"/>
    <n v="66994"/>
    <s v="temps partiel"/>
    <s v="Paiement par virement"/>
    <s v="BICIS"/>
    <s v="785537574159"/>
    <d v="2045-04-30T00:00:00"/>
    <s v="MOD"/>
    <s v="CDD"/>
    <n v="0"/>
    <n v="0"/>
    <n v="15585"/>
    <n v="0"/>
    <n v="535"/>
    <n v="0"/>
    <n v="0"/>
    <n v="85600"/>
    <n v="70015"/>
    <n v="2054.4"/>
    <n v="428"/>
    <n v="2996"/>
    <n v="1455.2"/>
    <n v="4622.4000000000005"/>
    <n v="22256"/>
    <n v="1968.7999999999997"/>
    <n v="2140"/>
    <n v="47679.200000000012"/>
  </r>
  <r>
    <s v="AA-033"/>
    <s v="Aude"/>
    <s v="Sandra"/>
    <d v="1993-08-15T00:00:00"/>
    <n v="30"/>
    <s v="0-30"/>
    <x v="1"/>
    <x v="1"/>
    <x v="2"/>
    <x v="6"/>
    <n v="0"/>
    <s v="[0-2["/>
    <n v="7880"/>
    <s v="4783199301660"/>
    <s v="mariée"/>
    <n v="4"/>
    <s v="778640192"/>
    <s v="SandraAude@gmail.com"/>
    <s v="Dakar"/>
    <n v="23926"/>
    <s v="temps plein"/>
    <s v="Paiement par cash"/>
    <s v="SGBS"/>
    <s v="778640192155"/>
    <d v="2045-04-30T00:00:00"/>
    <s v="MOD"/>
    <s v="CDD"/>
    <n v="0"/>
    <n v="0"/>
    <n v="0"/>
    <n v="0"/>
    <n v="535"/>
    <n v="0"/>
    <n v="0"/>
    <n v="85600"/>
    <n v="85600"/>
    <n v="2054.4"/>
    <n v="428"/>
    <n v="2996"/>
    <n v="1455.2"/>
    <n v="4622.4000000000005"/>
    <n v="22256"/>
    <n v="1968.7999999999997"/>
    <n v="2140"/>
    <n v="47679.200000000012"/>
  </r>
  <r>
    <s v="AA-034"/>
    <s v="Dramé"/>
    <s v="Sékou "/>
    <d v="1996-08-23T00:00:00"/>
    <n v="27"/>
    <s v="0-30"/>
    <x v="0"/>
    <x v="1"/>
    <x v="2"/>
    <x v="6"/>
    <n v="0"/>
    <s v="[0-2["/>
    <n v="3737"/>
    <s v="4228199601660"/>
    <s v="célibataire"/>
    <n v="0"/>
    <s v="769747952"/>
    <s v="Sékou Dramé@gmail.com"/>
    <s v="Thiès"/>
    <n v="15439"/>
    <s v="temps plein"/>
    <s v="Paiement par cash"/>
    <s v="BOA"/>
    <s v="769747952154"/>
    <d v="2045-04-30T00:00:00"/>
    <s v="MOD"/>
    <s v="INTERIM"/>
    <n v="0"/>
    <n v="0"/>
    <n v="0"/>
    <n v="0"/>
    <n v="535"/>
    <n v="0"/>
    <n v="0"/>
    <n v="85600"/>
    <n v="85600"/>
    <n v="2054.4"/>
    <n v="428"/>
    <n v="2996"/>
    <n v="1455.2"/>
    <n v="4622.4000000000005"/>
    <n v="22256"/>
    <n v="1968.7999999999997"/>
    <n v="2140"/>
    <n v="47679.200000000012"/>
  </r>
  <r>
    <s v="AA-035"/>
    <s v="Dassy"/>
    <s v="Ange"/>
    <d v="1999-02-15T00:00:00"/>
    <n v="24"/>
    <s v="0-30"/>
    <x v="0"/>
    <x v="5"/>
    <x v="2"/>
    <x v="6"/>
    <n v="0"/>
    <s v="[0-2["/>
    <n v="2524"/>
    <s v="5183199901660"/>
    <s v="mariée"/>
    <n v="4"/>
    <s v="775335359"/>
    <s v="AngeDassy@gmail.com"/>
    <s v="Saint-Louis"/>
    <n v="14417"/>
    <s v="temps plein"/>
    <s v="Paiement par virement"/>
    <s v="BICIS"/>
    <s v="775335359158"/>
    <d v="2045-04-30T00:00:00"/>
    <s v="MOD"/>
    <s v="CDI"/>
    <n v="0"/>
    <n v="0"/>
    <n v="0"/>
    <n v="0"/>
    <n v="396"/>
    <n v="0"/>
    <n v="0"/>
    <n v="63360"/>
    <n v="63360"/>
    <n v="1520.64"/>
    <n v="316.8"/>
    <n v="2217.6"/>
    <n v="1077.1199999999999"/>
    <n v="3421.44"/>
    <n v="16473.599999999999"/>
    <n v="1457.28"/>
    <n v="1584"/>
    <n v="35291.519999999997"/>
  </r>
  <r>
    <s v="AA-036"/>
    <s v="Fall"/>
    <s v="Kossa"/>
    <d v="1989-08-23T00:00:00"/>
    <n v="34"/>
    <s v="30-40"/>
    <x v="1"/>
    <x v="5"/>
    <x v="2"/>
    <x v="6"/>
    <n v="0"/>
    <s v="[0-2["/>
    <n v="3314"/>
    <s v="6823198901660"/>
    <s v="marié"/>
    <n v="4"/>
    <s v="775704664"/>
    <s v="KossaFall@gmail.com"/>
    <s v="Tambacounda"/>
    <n v="42474"/>
    <s v="temps partiel"/>
    <s v="Paiement par virement"/>
    <s v="BICIS"/>
    <s v="775704664159"/>
    <d v="2045-04-30T00:00:00"/>
    <s v="MOD"/>
    <s v="CDI"/>
    <n v="0"/>
    <n v="0"/>
    <n v="0"/>
    <n v="0"/>
    <n v="396"/>
    <n v="0"/>
    <n v="0"/>
    <n v="63360"/>
    <n v="63360"/>
    <n v="1520.64"/>
    <n v="316.8"/>
    <n v="2217.6"/>
    <n v="1077.1199999999999"/>
    <n v="3421.44"/>
    <n v="16473.599999999999"/>
    <n v="1457.28"/>
    <n v="1584"/>
    <n v="35291.519999999997"/>
  </r>
  <r>
    <s v="AA-037"/>
    <s v="Camara"/>
    <s v="Birahim"/>
    <d v="1993-08-15T00:00:00"/>
    <n v="30"/>
    <s v="0-30"/>
    <x v="1"/>
    <x v="5"/>
    <x v="2"/>
    <x v="6"/>
    <n v="0"/>
    <s v="[0-2["/>
    <n v="5894"/>
    <s v="1184199301660"/>
    <s v="marié"/>
    <n v="1"/>
    <s v="771626370"/>
    <s v="BirahimCamara@gmail.com"/>
    <s v="Fatick"/>
    <n v="51681"/>
    <s v="temps plein"/>
    <s v="Paiement par cash"/>
    <s v="BICIS"/>
    <s v="771626370155"/>
    <d v="2045-04-30T00:00:00"/>
    <s v="MOD"/>
    <s v="CDD"/>
    <n v="0"/>
    <n v="0"/>
    <n v="0"/>
    <n v="140000"/>
    <n v="396"/>
    <n v="0"/>
    <n v="0"/>
    <n v="63360"/>
    <n v="63360"/>
    <n v="1520.64"/>
    <n v="316.8"/>
    <n v="2217.6"/>
    <n v="1077.1199999999999"/>
    <n v="3421.44"/>
    <n v="16473.599999999999"/>
    <n v="1457.28"/>
    <n v="1584"/>
    <n v="35291.519999999997"/>
  </r>
  <r>
    <s v="AA-038"/>
    <s v="Diop"/>
    <s v="Ousseynou"/>
    <d v="1991-06-15T00:00:00"/>
    <n v="32"/>
    <s v="30-40"/>
    <x v="1"/>
    <x v="1"/>
    <x v="2"/>
    <x v="6"/>
    <n v="0"/>
    <s v="[0-2["/>
    <n v="17905"/>
    <s v="2890199101660"/>
    <s v="marié"/>
    <n v="1"/>
    <s v="769122378"/>
    <s v="OusseynouDiop@gmail.com"/>
    <s v="Saint-Louis"/>
    <n v="46263"/>
    <s v="temps plein"/>
    <s v="Paiement par virement"/>
    <s v="BICIS"/>
    <s v="769122378158"/>
    <d v="2045-04-30T00:00:00"/>
    <s v="MOD"/>
    <s v="CDD"/>
    <n v="0"/>
    <n v="0"/>
    <n v="0"/>
    <n v="0"/>
    <n v="535"/>
    <n v="0"/>
    <n v="0"/>
    <n v="85600"/>
    <n v="85600"/>
    <n v="2054.4"/>
    <n v="428"/>
    <n v="2996"/>
    <n v="1455.2"/>
    <n v="4622.4000000000005"/>
    <n v="22256"/>
    <n v="1968.7999999999997"/>
    <n v="2140"/>
    <n v="47679.200000000012"/>
  </r>
  <r>
    <s v="AA-039"/>
    <s v="Ndiaye"/>
    <s v="Adiouma"/>
    <d v="1995-08-03T00:00:00"/>
    <n v="28"/>
    <s v="0-30"/>
    <x v="1"/>
    <x v="1"/>
    <x v="2"/>
    <x v="6"/>
    <n v="0"/>
    <s v="[0-2["/>
    <n v="2403"/>
    <s v="6418199501660"/>
    <s v="marié"/>
    <n v="1"/>
    <s v="763549933"/>
    <s v="AdioumaNdiaye@gmail.com"/>
    <s v="Dakar"/>
    <n v="87982"/>
    <s v="temps partiel"/>
    <s v="Paiement par virement"/>
    <s v="BICIS"/>
    <s v="763549933156"/>
    <d v="2045-04-30T00:00:00"/>
    <s v="MOD"/>
    <s v="INTERIM"/>
    <n v="0"/>
    <n v="0"/>
    <n v="0"/>
    <n v="0"/>
    <n v="535"/>
    <n v="0"/>
    <n v="0"/>
    <n v="85600"/>
    <n v="85600"/>
    <n v="2054.4"/>
    <n v="428"/>
    <n v="2996"/>
    <n v="1455.2"/>
    <n v="4622.4000000000005"/>
    <n v="22256"/>
    <n v="1968.7999999999997"/>
    <n v="2140"/>
    <n v="47679.200000000012"/>
  </r>
  <r>
    <s v="AA-040"/>
    <s v="Diagne"/>
    <s v="Pathé"/>
    <d v="1998-12-12T00:00:00"/>
    <n v="25"/>
    <s v="0-30"/>
    <x v="1"/>
    <x v="1"/>
    <x v="2"/>
    <x v="8"/>
    <n v="0"/>
    <s v="[0-2["/>
    <n v="6313"/>
    <s v="9138199801660"/>
    <s v="célibataire"/>
    <n v="0"/>
    <s v="762104760"/>
    <s v="PathéDiagne@gmail.com"/>
    <s v="Dakar"/>
    <n v="34551"/>
    <s v="temps plein"/>
    <s v="Paiement par virement"/>
    <s v="BICIS"/>
    <s v="762104760150"/>
    <d v="2045-05-01T00:00:00"/>
    <s v="MOD"/>
    <s v="INTERIM"/>
    <n v="0"/>
    <n v="0"/>
    <n v="0"/>
    <n v="0"/>
    <n v="535"/>
    <n v="0"/>
    <n v="0"/>
    <n v="85600"/>
    <n v="85600"/>
    <n v="2054.4"/>
    <n v="428"/>
    <n v="2996"/>
    <n v="1455.2"/>
    <n v="4622.4000000000005"/>
    <n v="22256"/>
    <n v="1968.7999999999997"/>
    <n v="2140"/>
    <n v="47679.200000000012"/>
  </r>
  <r>
    <s v="AA-041"/>
    <s v="Gning"/>
    <s v="Ibrahima"/>
    <d v="1998-12-13T00:00:00"/>
    <n v="25"/>
    <s v="0-30"/>
    <x v="1"/>
    <x v="1"/>
    <x v="2"/>
    <x v="9"/>
    <n v="0"/>
    <s v="[0-2["/>
    <n v="955"/>
    <s v="2319199801660"/>
    <s v="marié"/>
    <n v="3"/>
    <s v="764832748"/>
    <s v="IbrahimaGning@gmail.com"/>
    <s v="Dakar"/>
    <n v="18802"/>
    <s v="temps plein"/>
    <s v="Paiement par virement"/>
    <s v="BICIS"/>
    <s v="764832748156"/>
    <d v="2045-05-02T00:00:00"/>
    <s v="MOD"/>
    <s v="INTERIM"/>
    <n v="0"/>
    <n v="0"/>
    <n v="15600"/>
    <n v="0"/>
    <n v="535"/>
    <n v="0"/>
    <n v="0"/>
    <n v="85600"/>
    <n v="70000"/>
    <n v="2054.4"/>
    <n v="428"/>
    <n v="2996"/>
    <n v="1455.2"/>
    <n v="4622.4000000000005"/>
    <n v="22256"/>
    <n v="1968.7999999999997"/>
    <n v="2140"/>
    <n v="47679.2000000000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FF5308-8CC5-4DA9-B886-76491214211A}"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0:B62" firstHeaderRow="1" firstDataRow="1" firstDataCol="1"/>
  <pivotFields count="48">
    <pivotField dataField="1" showAll="0"/>
    <pivotField showAll="0"/>
    <pivotField showAll="0"/>
    <pivotField numFmtId="14" showAll="0"/>
    <pivotField showAll="0"/>
    <pivotField showAll="0"/>
    <pivotField showAll="0">
      <items count="3">
        <item x="0"/>
        <item x="1"/>
        <item t="default"/>
      </items>
    </pivotField>
    <pivotField showAll="0">
      <items count="7">
        <item x="2"/>
        <item x="3"/>
        <item x="4"/>
        <item x="1"/>
        <item x="0"/>
        <item x="5"/>
        <item t="default"/>
      </items>
    </pivotField>
    <pivotField axis="axisRow" showAll="0">
      <items count="12">
        <item x="8"/>
        <item x="6"/>
        <item x="5"/>
        <item x="7"/>
        <item x="0"/>
        <item x="9"/>
        <item x="1"/>
        <item x="2"/>
        <item x="3"/>
        <item x="4"/>
        <item x="10"/>
        <item t="default"/>
      </items>
    </pivotField>
    <pivotField numFmtId="14" showAll="0">
      <items count="11">
        <item x="0"/>
        <item x="1"/>
        <item x="2"/>
        <item x="3"/>
        <item x="7"/>
        <item x="4"/>
        <item x="5"/>
        <item x="6"/>
        <item x="8"/>
        <item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numFmtId="1" showAll="0"/>
    <pivotField numFmtId="1" showAll="0"/>
    <pivotField numFmtId="1" showAll="0"/>
    <pivotField numFmtId="1" showAll="0"/>
    <pivotField numFmtId="2"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8"/>
  </rowFields>
  <rowItems count="12">
    <i>
      <x/>
    </i>
    <i>
      <x v="1"/>
    </i>
    <i>
      <x v="2"/>
    </i>
    <i>
      <x v="3"/>
    </i>
    <i>
      <x v="4"/>
    </i>
    <i>
      <x v="5"/>
    </i>
    <i>
      <x v="6"/>
    </i>
    <i>
      <x v="7"/>
    </i>
    <i>
      <x v="8"/>
    </i>
    <i>
      <x v="9"/>
    </i>
    <i>
      <x v="10"/>
    </i>
    <i t="grand">
      <x/>
    </i>
  </rowItems>
  <colItems count="1">
    <i/>
  </colItems>
  <dataFields count="1">
    <dataField name="Count of Matricul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B6E664E-EC7E-488B-AED0-E1DE7DE89087}"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0:B37" firstHeaderRow="1" firstDataRow="1" firstDataCol="1"/>
  <pivotFields count="48">
    <pivotField showAll="0"/>
    <pivotField showAll="0"/>
    <pivotField showAll="0"/>
    <pivotField numFmtId="14" showAll="0"/>
    <pivotField showAll="0"/>
    <pivotField showAll="0"/>
    <pivotField showAll="0">
      <items count="3">
        <item x="0"/>
        <item x="1"/>
        <item t="default"/>
      </items>
    </pivotField>
    <pivotField axis="axisRow" showAll="0">
      <items count="7">
        <item x="2"/>
        <item x="3"/>
        <item x="4"/>
        <item x="1"/>
        <item x="0"/>
        <item x="5"/>
        <item t="default"/>
      </items>
    </pivotField>
    <pivotField showAll="0">
      <items count="12">
        <item x="8"/>
        <item x="6"/>
        <item x="5"/>
        <item x="7"/>
        <item x="0"/>
        <item x="9"/>
        <item x="1"/>
        <item x="2"/>
        <item x="3"/>
        <item x="4"/>
        <item x="10"/>
        <item t="default"/>
      </items>
    </pivotField>
    <pivotField numFmtId="14" showAll="0">
      <items count="11">
        <item x="0"/>
        <item x="1"/>
        <item x="2"/>
        <item x="3"/>
        <item x="7"/>
        <item x="4"/>
        <item x="5"/>
        <item x="6"/>
        <item x="8"/>
        <item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numFmtId="1" showAll="0"/>
    <pivotField numFmtId="1" showAll="0"/>
    <pivotField numFmtId="1" showAll="0"/>
    <pivotField numFmtId="1" showAll="0"/>
    <pivotField numFmtId="2" showAll="0"/>
    <pivotField numFmtId="1" showAll="0"/>
    <pivotField numFmtId="1" showAll="0"/>
    <pivotField dataField="1"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7"/>
  </rowFields>
  <rowItems count="7">
    <i>
      <x/>
    </i>
    <i>
      <x v="1"/>
    </i>
    <i>
      <x v="2"/>
    </i>
    <i>
      <x v="3"/>
    </i>
    <i>
      <x v="4"/>
    </i>
    <i>
      <x v="5"/>
    </i>
    <i t="grand">
      <x/>
    </i>
  </rowItems>
  <colItems count="1">
    <i/>
  </colItems>
  <dataFields count="1">
    <dataField name="Average of SALAIRE BRUT" fld="34" subtotal="average" baseField="7" baseItem="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5"/>
          </reference>
        </references>
      </pivotArea>
    </chartFormat>
    <chartFormat chart="0" format="2">
      <pivotArea type="data" outline="0" fieldPosition="0">
        <references count="2">
          <reference field="4294967294" count="1" selected="0">
            <x v="0"/>
          </reference>
          <reference field="7" count="1" selected="0">
            <x v="3"/>
          </reference>
        </references>
      </pivotArea>
    </chartFormat>
    <chartFormat chart="0" format="3">
      <pivotArea type="data" outline="0" fieldPosition="0">
        <references count="2">
          <reference field="4294967294" count="1" selected="0">
            <x v="0"/>
          </reference>
          <reference field="7" count="1" selected="0">
            <x v="4"/>
          </reference>
        </references>
      </pivotArea>
    </chartFormat>
    <chartFormat chart="0" format="4">
      <pivotArea type="data" outline="0" fieldPosition="0">
        <references count="2">
          <reference field="4294967294" count="1" selected="0">
            <x v="0"/>
          </reference>
          <reference field="7" count="1" selected="0">
            <x v="1"/>
          </reference>
        </references>
      </pivotArea>
    </chartFormat>
    <chartFormat chart="0" format="5">
      <pivotArea type="data" outline="0" fieldPosition="0">
        <references count="2">
          <reference field="4294967294" count="1" selected="0">
            <x v="0"/>
          </reference>
          <reference field="7" count="1" selected="0">
            <x v="0"/>
          </reference>
        </references>
      </pivotArea>
    </chartFormat>
    <chartFormat chart="0" format="6">
      <pivotArea type="data" outline="0" fieldPosition="0">
        <references count="2">
          <reference field="4294967294" count="1" selected="0">
            <x v="0"/>
          </reference>
          <reference field="7" count="1" selected="0">
            <x v="2"/>
          </reference>
        </references>
      </pivotArea>
    </chartFormat>
    <chartFormat chart="3" format="14" series="1">
      <pivotArea type="data" outline="0" fieldPosition="0">
        <references count="1">
          <reference field="4294967294" count="1" selected="0">
            <x v="0"/>
          </reference>
        </references>
      </pivotArea>
    </chartFormat>
    <chartFormat chart="3" format="15">
      <pivotArea type="data" outline="0" fieldPosition="0">
        <references count="2">
          <reference field="4294967294" count="1" selected="0">
            <x v="0"/>
          </reference>
          <reference field="7" count="1" selected="0">
            <x v="0"/>
          </reference>
        </references>
      </pivotArea>
    </chartFormat>
    <chartFormat chart="3" format="16">
      <pivotArea type="data" outline="0" fieldPosition="0">
        <references count="2">
          <reference field="4294967294" count="1" selected="0">
            <x v="0"/>
          </reference>
          <reference field="7" count="1" selected="0">
            <x v="1"/>
          </reference>
        </references>
      </pivotArea>
    </chartFormat>
    <chartFormat chart="3" format="17">
      <pivotArea type="data" outline="0" fieldPosition="0">
        <references count="2">
          <reference field="4294967294" count="1" selected="0">
            <x v="0"/>
          </reference>
          <reference field="7" count="1" selected="0">
            <x v="2"/>
          </reference>
        </references>
      </pivotArea>
    </chartFormat>
    <chartFormat chart="3" format="18">
      <pivotArea type="data" outline="0" fieldPosition="0">
        <references count="2">
          <reference field="4294967294" count="1" selected="0">
            <x v="0"/>
          </reference>
          <reference field="7" count="1" selected="0">
            <x v="3"/>
          </reference>
        </references>
      </pivotArea>
    </chartFormat>
    <chartFormat chart="3" format="19">
      <pivotArea type="data" outline="0" fieldPosition="0">
        <references count="2">
          <reference field="4294967294" count="1" selected="0">
            <x v="0"/>
          </reference>
          <reference field="7" count="1" selected="0">
            <x v="4"/>
          </reference>
        </references>
      </pivotArea>
    </chartFormat>
    <chartFormat chart="3" format="20">
      <pivotArea type="data" outline="0" fieldPosition="0">
        <references count="2">
          <reference field="4294967294" count="1" selected="0">
            <x v="0"/>
          </reference>
          <reference field="7"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A0DC44E-F319-4D1E-8363-7160AB0F8685}"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6:B28" firstHeaderRow="1" firstDataRow="1" firstDataCol="1"/>
  <pivotFields count="48">
    <pivotField showAll="0"/>
    <pivotField showAll="0"/>
    <pivotField showAll="0"/>
    <pivotField numFmtId="14" showAll="0"/>
    <pivotField showAll="0"/>
    <pivotField showAll="0"/>
    <pivotField showAll="0">
      <items count="3">
        <item x="0"/>
        <item x="1"/>
        <item t="default"/>
      </items>
    </pivotField>
    <pivotField showAll="0">
      <items count="7">
        <item x="2"/>
        <item x="3"/>
        <item x="4"/>
        <item x="1"/>
        <item x="0"/>
        <item x="5"/>
        <item t="default"/>
      </items>
    </pivotField>
    <pivotField axis="axisRow" showAll="0">
      <items count="12">
        <item x="8"/>
        <item x="6"/>
        <item x="5"/>
        <item x="7"/>
        <item x="0"/>
        <item x="9"/>
        <item x="1"/>
        <item x="2"/>
        <item x="3"/>
        <item x="4"/>
        <item x="10"/>
        <item t="default"/>
      </items>
    </pivotField>
    <pivotField numFmtId="14" showAll="0">
      <items count="11">
        <item x="0"/>
        <item x="1"/>
        <item x="2"/>
        <item x="3"/>
        <item x="7"/>
        <item x="4"/>
        <item x="5"/>
        <item x="6"/>
        <item x="8"/>
        <item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numFmtId="1" showAll="0"/>
    <pivotField numFmtId="1" showAll="0"/>
    <pivotField numFmtId="1" showAll="0"/>
    <pivotField numFmtId="1" showAll="0"/>
    <pivotField numFmtId="2" showAll="0"/>
    <pivotField numFmtId="1" showAll="0"/>
    <pivotField numFmtId="1" showAll="0"/>
    <pivotField dataField="1"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8"/>
  </rowFields>
  <rowItems count="12">
    <i>
      <x/>
    </i>
    <i>
      <x v="1"/>
    </i>
    <i>
      <x v="2"/>
    </i>
    <i>
      <x v="3"/>
    </i>
    <i>
      <x v="4"/>
    </i>
    <i>
      <x v="5"/>
    </i>
    <i>
      <x v="6"/>
    </i>
    <i>
      <x v="7"/>
    </i>
    <i>
      <x v="8"/>
    </i>
    <i>
      <x v="9"/>
    </i>
    <i>
      <x v="10"/>
    </i>
    <i t="grand">
      <x/>
    </i>
  </rowItems>
  <colItems count="1">
    <i/>
  </colItems>
  <dataFields count="1">
    <dataField name="Average of SALAIRE BRUT" fld="34" subtotal="average" baseField="8" baseItem="0"/>
  </dataFields>
  <chartFormats count="2">
    <chartFormat chart="1"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DE7F4B-95EB-4C8E-A9AB-D505A4A618B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8:B13" firstHeaderRow="1" firstDataRow="1" firstDataCol="1"/>
  <pivotFields count="48">
    <pivotField dataField="1" showAll="0"/>
    <pivotField showAll="0"/>
    <pivotField showAll="0"/>
    <pivotField numFmtId="14" showAll="0"/>
    <pivotField showAll="0"/>
    <pivotField showAll="0"/>
    <pivotField showAll="0">
      <items count="3">
        <item x="0"/>
        <item x="1"/>
        <item t="default"/>
      </items>
    </pivotField>
    <pivotField showAll="0">
      <items count="7">
        <item x="2"/>
        <item x="3"/>
        <item x="4"/>
        <item x="1"/>
        <item x="0"/>
        <item x="5"/>
        <item t="default"/>
      </items>
    </pivotField>
    <pivotField showAll="0">
      <items count="12">
        <item x="8"/>
        <item x="6"/>
        <item x="5"/>
        <item x="7"/>
        <item x="0"/>
        <item x="9"/>
        <item x="1"/>
        <item x="2"/>
        <item x="3"/>
        <item x="4"/>
        <item x="10"/>
        <item t="default"/>
      </items>
    </pivotField>
    <pivotField axis="axisRow" numFmtId="14" showAll="0">
      <items count="11">
        <item x="0"/>
        <item x="1"/>
        <item x="2"/>
        <item x="3"/>
        <item x="7"/>
        <item x="4"/>
        <item x="5"/>
        <item x="6"/>
        <item x="8"/>
        <item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numFmtId="1" showAll="0"/>
    <pivotField numFmtId="1" showAll="0"/>
    <pivotField numFmtId="1" showAll="0"/>
    <pivotField numFmtId="1" showAll="0"/>
    <pivotField numFmtId="2"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8">
        <item sd="0" x="0"/>
        <item sd="0" x="1"/>
        <item sd="0" x="2"/>
        <item sd="0" x="3"/>
        <item sd="0" x="4"/>
        <item sd="0" x="5"/>
        <item sd="0" x="6"/>
        <item t="default"/>
      </items>
    </pivotField>
  </pivotFields>
  <rowFields count="4">
    <field x="47"/>
    <field x="46"/>
    <field x="45"/>
    <field x="9"/>
  </rowFields>
  <rowItems count="5">
    <i>
      <x v="1"/>
    </i>
    <i>
      <x v="3"/>
    </i>
    <i>
      <x v="4"/>
    </i>
    <i>
      <x v="5"/>
    </i>
    <i t="grand">
      <x/>
    </i>
  </rowItems>
  <colItems count="1">
    <i/>
  </colItems>
  <dataFields count="1">
    <dataField name="Count of Matricule" fld="0" subtotal="count"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9F4B1B2-0C7C-4D37-A046-3C4A5A34DDFE}"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65:B68" firstHeaderRow="1" firstDataRow="1" firstDataCol="1"/>
  <pivotFields count="48">
    <pivotField showAll="0"/>
    <pivotField showAll="0"/>
    <pivotField showAll="0"/>
    <pivotField numFmtId="14" showAll="0"/>
    <pivotField showAll="0"/>
    <pivotField showAll="0"/>
    <pivotField axis="axisRow" showAll="0">
      <items count="3">
        <item x="0"/>
        <item x="1"/>
        <item t="default"/>
      </items>
    </pivotField>
    <pivotField showAll="0">
      <items count="7">
        <item x="2"/>
        <item x="3"/>
        <item x="4"/>
        <item x="1"/>
        <item x="0"/>
        <item x="5"/>
        <item t="default"/>
      </items>
    </pivotField>
    <pivotField showAll="0"/>
    <pivotField numFmtId="14" showAll="0">
      <items count="11">
        <item x="0"/>
        <item x="1"/>
        <item x="2"/>
        <item x="3"/>
        <item x="7"/>
        <item x="4"/>
        <item x="5"/>
        <item x="6"/>
        <item x="8"/>
        <item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numFmtId="1" showAll="0"/>
    <pivotField numFmtId="1" showAll="0"/>
    <pivotField numFmtId="1" showAll="0"/>
    <pivotField numFmtId="1" showAll="0"/>
    <pivotField numFmtId="2" showAll="0"/>
    <pivotField numFmtId="1" showAll="0"/>
    <pivotField numFmtId="1" showAll="0"/>
    <pivotField dataField="1"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6"/>
  </rowFields>
  <rowItems count="3">
    <i>
      <x/>
    </i>
    <i>
      <x v="1"/>
    </i>
    <i t="grand">
      <x/>
    </i>
  </rowItems>
  <colItems count="1">
    <i/>
  </colItems>
  <dataFields count="1">
    <dataField name="Average of SALAIRE BRUT" fld="34" subtotal="average" baseField="6"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E78D0EE-FBE1-4B88-B224-8E9ADF181BB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B6" firstHeaderRow="1" firstDataRow="1" firstDataCol="1"/>
  <pivotFields count="48">
    <pivotField dataField="1" showAll="0"/>
    <pivotField showAll="0"/>
    <pivotField showAll="0"/>
    <pivotField numFmtId="14" showAll="0"/>
    <pivotField showAll="0"/>
    <pivotField showAll="0"/>
    <pivotField axis="axisRow" showAll="0">
      <items count="3">
        <item x="0"/>
        <item x="1"/>
        <item t="default"/>
      </items>
    </pivotField>
    <pivotField showAll="0">
      <items count="7">
        <item x="2"/>
        <item x="3"/>
        <item x="4"/>
        <item x="1"/>
        <item x="0"/>
        <item x="5"/>
        <item t="default"/>
      </items>
    </pivotField>
    <pivotField showAll="0">
      <items count="12">
        <item x="8"/>
        <item x="6"/>
        <item x="5"/>
        <item x="7"/>
        <item x="0"/>
        <item x="9"/>
        <item x="1"/>
        <item x="2"/>
        <item x="3"/>
        <item x="4"/>
        <item x="10"/>
        <item t="default"/>
      </items>
    </pivotField>
    <pivotField numFmtId="14" showAll="0">
      <items count="11">
        <item x="0"/>
        <item x="1"/>
        <item x="2"/>
        <item x="3"/>
        <item x="7"/>
        <item x="4"/>
        <item x="5"/>
        <item x="6"/>
        <item x="8"/>
        <item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numFmtId="1" showAll="0"/>
    <pivotField numFmtId="1" showAll="0"/>
    <pivotField numFmtId="1" showAll="0"/>
    <pivotField numFmtId="1" showAll="0"/>
    <pivotField numFmtId="2"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6"/>
  </rowFields>
  <rowItems count="3">
    <i>
      <x/>
    </i>
    <i>
      <x v="1"/>
    </i>
    <i t="grand">
      <x/>
    </i>
  </rowItems>
  <colItems count="1">
    <i/>
  </colItems>
  <dataFields count="1">
    <dataField name="Count of Matricule" fld="0" subtotal="count" baseField="0" baseItem="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6" count="1" selected="0">
            <x v="1"/>
          </reference>
        </references>
      </pivotArea>
    </chartFormat>
    <chartFormat chart="0" format="2">
      <pivotArea type="data" outline="0" fieldPosition="0">
        <references count="2">
          <reference field="4294967294" count="1" selected="0">
            <x v="0"/>
          </reference>
          <reference field="6"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6" count="1" selected="0">
            <x v="0"/>
          </reference>
        </references>
      </pivotArea>
    </chartFormat>
    <chartFormat chart="5" format="8">
      <pivotArea type="data" outline="0" fieldPosition="0">
        <references count="2">
          <reference field="4294967294" count="1" selected="0">
            <x v="0"/>
          </reference>
          <reference field="6" count="1" selected="0">
            <x v="1"/>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6" count="1" selected="0">
            <x v="0"/>
          </reference>
        </references>
      </pivotArea>
    </chartFormat>
    <chartFormat chart="8" format="8">
      <pivotArea type="data" outline="0" fieldPosition="0">
        <references count="2">
          <reference field="4294967294" count="1" selected="0">
            <x v="0"/>
          </reference>
          <reference field="6" count="1" selected="0">
            <x v="1"/>
          </reference>
        </references>
      </pivotArea>
    </chartFormat>
    <chartFormat chart="11" format="12" series="1">
      <pivotArea type="data" outline="0" fieldPosition="0">
        <references count="1">
          <reference field="4294967294" count="1" selected="0">
            <x v="0"/>
          </reference>
        </references>
      </pivotArea>
    </chartFormat>
    <chartFormat chart="11" format="13">
      <pivotArea type="data" outline="0" fieldPosition="0">
        <references count="2">
          <reference field="4294967294" count="1" selected="0">
            <x v="0"/>
          </reference>
          <reference field="6" count="1" selected="0">
            <x v="0"/>
          </reference>
        </references>
      </pivotArea>
    </chartFormat>
    <chartFormat chart="11" format="14">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614FE9A-FA84-4699-8FED-8A529C376409}"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0:B47" firstHeaderRow="1" firstDataRow="1" firstDataCol="1"/>
  <pivotFields count="48">
    <pivotField dataField="1" showAll="0"/>
    <pivotField showAll="0"/>
    <pivotField showAll="0"/>
    <pivotField numFmtId="14" showAll="0"/>
    <pivotField showAll="0"/>
    <pivotField showAll="0"/>
    <pivotField showAll="0">
      <items count="3">
        <item x="0"/>
        <item x="1"/>
        <item t="default"/>
      </items>
    </pivotField>
    <pivotField axis="axisRow" showAll="0">
      <items count="7">
        <item x="2"/>
        <item x="3"/>
        <item x="4"/>
        <item x="1"/>
        <item x="0"/>
        <item x="5"/>
        <item t="default"/>
      </items>
    </pivotField>
    <pivotField showAll="0">
      <items count="12">
        <item x="8"/>
        <item x="6"/>
        <item x="5"/>
        <item x="7"/>
        <item x="0"/>
        <item x="9"/>
        <item x="1"/>
        <item x="2"/>
        <item x="3"/>
        <item x="4"/>
        <item x="10"/>
        <item t="default"/>
      </items>
    </pivotField>
    <pivotField numFmtId="14" showAll="0">
      <items count="11">
        <item x="0"/>
        <item x="1"/>
        <item x="2"/>
        <item x="3"/>
        <item x="7"/>
        <item x="4"/>
        <item x="5"/>
        <item x="6"/>
        <item x="8"/>
        <item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numFmtId="1" showAll="0"/>
    <pivotField numFmtId="1" showAll="0"/>
    <pivotField numFmtId="1" showAll="0"/>
    <pivotField numFmtId="1" showAll="0"/>
    <pivotField numFmtId="2"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7"/>
  </rowFields>
  <rowItems count="7">
    <i>
      <x/>
    </i>
    <i>
      <x v="1"/>
    </i>
    <i>
      <x v="2"/>
    </i>
    <i>
      <x v="3"/>
    </i>
    <i>
      <x v="4"/>
    </i>
    <i>
      <x v="5"/>
    </i>
    <i t="grand">
      <x/>
    </i>
  </rowItems>
  <colItems count="1">
    <i/>
  </colItems>
  <dataFields count="1">
    <dataField name="Count of Matricul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e" xr10:uid="{25B03286-8389-41A5-9CFD-4E9D4D7E9034}" sourceName="Sexe">
  <pivotTables>
    <pivotTable tabId="16" name="PivotTable3"/>
    <pivotTable tabId="16" name="PivotTable5"/>
    <pivotTable tabId="16" name="PivotTable6"/>
    <pivotTable tabId="16" name="PivotTable7"/>
    <pivotTable tabId="16" name="PivotTable8"/>
  </pivotTables>
  <data>
    <tabular pivotCacheId="2069561928">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égorie" xr10:uid="{8F5E81FC-A467-4BDE-943D-63948D4C9080}" sourceName="Catégorie">
  <pivotTables>
    <pivotTable tabId="16" name="PivotTable2"/>
    <pivotTable tabId="16" name="PivotTable1"/>
    <pivotTable tabId="16" name="PivotTable3"/>
    <pivotTable tabId="16" name="PivotTable6"/>
    <pivotTable tabId="16" name="PivotTable7"/>
    <pivotTable tabId="16" name="PivotTable8"/>
  </pivotTables>
  <data>
    <tabular pivotCacheId="2069561928">
      <items count="6">
        <i x="2" s="1"/>
        <i x="3" s="1"/>
        <i x="4" s="1"/>
        <i x="1" s="1"/>
        <i x="0"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épartement" xr10:uid="{0E1728B2-9A4E-4C37-B167-771A967EA7AE}" sourceName="Département">
  <pivotTables>
    <pivotTable tabId="16" name="PivotTable2"/>
    <pivotTable tabId="16" name="PivotTable1"/>
    <pivotTable tabId="16" name="PivotTable3"/>
    <pivotTable tabId="16" name="PivotTable5"/>
    <pivotTable tabId="16" name="PivotTable6"/>
  </pivotTables>
  <data>
    <tabular pivotCacheId="2069561928">
      <items count="11">
        <i x="8" s="1"/>
        <i x="6" s="1"/>
        <i x="5" s="1"/>
        <i x="7" s="1"/>
        <i x="0" s="1"/>
        <i x="9" s="1"/>
        <i x="1" s="1"/>
        <i x="2" s="1"/>
        <i x="3" s="1"/>
        <i x="4" s="1"/>
        <i x="1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e" xr10:uid="{654FF37E-E446-45DF-9994-FCBF123AA5E9}" cache="Slicer_Sexe" caption="Sexe" rowHeight="247650"/>
  <slicer name="Catégorie" xr10:uid="{92774115-FA2E-479A-A2A5-D027BF92B9AE}" cache="Slicer_Catégorie" caption="Catégorie" rowHeight="247650"/>
  <slicer name="Département" xr10:uid="{40376525-4A3B-4635-B00B-E01BFFA0AB44}" cache="Slicer_Département" caption="Département"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e 1" xr10:uid="{B808731F-1433-4715-992B-8444C2D51277}" cache="Slicer_Sexe" caption="Sexe" rowHeight="247650"/>
  <slicer name="Catégorie 1" xr10:uid="{6C0DE774-26AF-4C5A-9066-7A298D54ECA1}" cache="Slicer_Catégorie" caption="Catégorie" rowHeight="247650"/>
  <slicer name="Département 1" xr10:uid="{FB1703FB-8E48-462E-B946-3E34108FAF88}" cache="Slicer_Département" caption="Département"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DF79C32-4468-432A-93C9-EA762CA7F7C9}" name="Table_InvoiceDetails" displayName="Table_InvoiceDetails" ref="B10:C15" headerRowDxfId="82" dataDxfId="81" totalsRowDxfId="80">
  <tableColumns count="2">
    <tableColumn id="1" xr3:uid="{2317368D-DC1A-4976-BABB-75F07421E1F4}" name="COMPOSANTES SALARIALES " totalsRowLabel="Total" dataDxfId="79" totalsRowDxfId="78"/>
    <tableColumn id="2" xr3:uid="{7EF04E13-FBA8-4CFC-9012-A57FD8D2EE98}" name="MONTANT" totalsRowFunction="count" dataDxfId="77" totalsRowDxfId="76"/>
  </tableColumns>
  <tableStyleInfo name="Table des affaires"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D913409-1AEB-40BC-8352-1618A233F55E}" name="Tableau93" displayName="Tableau93" ref="A1:AS42" totalsRowShown="0">
  <autoFilter ref="A1:AS42" xr:uid="{AF9B6EE2-8CA2-4B8A-942A-A84136E21959}"/>
  <tableColumns count="45">
    <tableColumn id="1" xr3:uid="{83CD1126-060D-46C6-A927-6320FCF51985}" name="Matricule" dataDxfId="75"/>
    <tableColumn id="2" xr3:uid="{B278F708-B406-4B90-A456-7CA0525CEB00}" name="Nom" dataDxfId="74"/>
    <tableColumn id="3" xr3:uid="{35B9F5C6-BBFA-41EB-B4AC-55EC32682EC0}" name="Prénom" dataDxfId="73"/>
    <tableColumn id="4" xr3:uid="{5BEE6386-260E-419A-9B5A-26DFCC45CFD0}" name="Date de Naissance" dataDxfId="72"/>
    <tableColumn id="16385" xr3:uid="{AE51B07D-A1F0-4770-8924-75F21F09F546}" name="AGE" dataDxfId="71">
      <calculatedColumnFormula>DATEDIF(Tableau93[[#This Row],[Date de Naissance]],TODAY(),"y")</calculatedColumnFormula>
    </tableColumn>
    <tableColumn id="5" xr3:uid="{FF116540-31E2-40C4-9BAA-05D285E0A890}" name="Tranche d'âge" dataDxfId="70">
      <calculatedColumnFormula>IF(AND(Tableau93[[#This Row],[AGE]]&gt;0,Tableau93[[#This Row],[AGE]]&lt;=30),"0-30",IF(AND(Tableau93[[#This Row],[AGE]]&gt;30,Tableau93[[#This Row],[AGE]]&lt;=40),"30-40","&gt;50 ans"))</calculatedColumnFormula>
    </tableColumn>
    <tableColumn id="7" xr3:uid="{4FDE051F-A5A0-49CD-AA3E-3297092BA22C}" name="Sexe" dataDxfId="69"/>
    <tableColumn id="9" xr3:uid="{416A23AD-66B3-4DB4-8582-D956BB9585E0}" name="Catégorie" dataDxfId="68"/>
    <tableColumn id="10" xr3:uid="{4C8C1E59-5ED9-4688-B884-4374EB01C93E}" name="Département" dataDxfId="67"/>
    <tableColumn id="11" xr3:uid="{97E050AA-4A19-4636-B382-12893A78354B}" name="Date Embauche" dataDxfId="66"/>
    <tableColumn id="22" xr3:uid="{CEA411D3-737F-43DB-9A37-5610F57B56CD}" name="Anciennete" dataDxfId="65">
      <calculatedColumnFormula>DATEDIF(Tableau93[[#This Row],[Date Embauche]],TODAY(),"y")</calculatedColumnFormula>
    </tableColumn>
    <tableColumn id="12" xr3:uid="{3A690F4E-6478-4297-80D5-318B790B5AB5}" name="Tranche Ancienneté" dataDxfId="64">
      <calculatedColumnFormula>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calculatedColumnFormula>
    </tableColumn>
    <tableColumn id="16" xr3:uid="{DF50CFAA-C5BE-4B6C-95DC-386B91FDEB35}" name="ADRESSE" dataDxfId="63"/>
    <tableColumn id="17" xr3:uid="{ECEFF0E7-C978-4F08-8031-4D62E8752DCA}" name="Numero CIN" dataDxfId="62"/>
    <tableColumn id="18" xr3:uid="{D263CB76-B801-44BD-A0E9-F82EA3FC0106}" name="SITUATION MATRIMONIALE" dataDxfId="61"/>
    <tableColumn id="21" xr3:uid="{03088C04-E527-4DB5-BCAC-51B0865B117B}" name="Nombre d'enfants" dataDxfId="60"/>
    <tableColumn id="20" xr3:uid="{B1AD5F72-76CE-4350-9585-FE8B5097460D}" name="Numéro téléphone domicile" dataDxfId="59"/>
    <tableColumn id="24" xr3:uid="{5A3C5235-F85C-4C9D-B724-7251F37A6C57}" name="MAIL" dataDxfId="58"/>
    <tableColumn id="19" xr3:uid="{4A58CD09-9A65-4CAA-B11F-2DC10409F195}" name="Lieu de Naissance" dataDxfId="57"/>
    <tableColumn id="23" xr3:uid="{5D630503-AD22-4E03-ABCD-5E695713DCFE}" name="Code Postal" dataDxfId="56"/>
    <tableColumn id="25" xr3:uid="{2264F9F1-260F-414A-B800-3F7A69CD66E2}" name="Régime horaire" dataDxfId="55"/>
    <tableColumn id="27" xr3:uid="{CD61C59A-BA08-45D4-8A40-41795D330A41}" name="Mode de paiement" dataDxfId="54"/>
    <tableColumn id="15" xr3:uid="{D31D851E-D9C8-4928-8B62-93D8BF82ECF6}" name="Banque " dataDxfId="53"/>
    <tableColumn id="29" xr3:uid="{115D6E31-3A7E-4D39-ACE9-513F0C907272}" name="Numero Carte banquaire" dataDxfId="52"/>
    <tableColumn id="28" xr3:uid="{C41593B9-84BD-43C8-9EB0-E385910460B6}" name="Date Fin Contrat" dataDxfId="51">
      <calculatedColumnFormula>Tableau93[[#This Row],[Date Embauche]]+8000</calculatedColumnFormula>
    </tableColumn>
    <tableColumn id="14" xr3:uid="{8D5E360B-3E31-4C15-A462-D6F4155FBB7A}" name="Qualification" dataDxfId="50"/>
    <tableColumn id="26" xr3:uid="{6507E53C-FFCE-4938-BE37-B92D77F847B3}" name="Contrat" dataDxfId="49"/>
    <tableColumn id="30" xr3:uid="{ED685188-2305-4618-9CF7-A96D885CF5C8}" name="Heure sup" dataDxfId="48">
      <calculatedColumnFormula>SUMIF(Sheet2!$A:$A,DataSet_BON!A2,Sheet2!$F:$F)</calculatedColumnFormula>
    </tableColumn>
    <tableColumn id="31" xr3:uid="{021F5668-6BFB-4940-B4C4-51BDBB130EA4}" name="Absence" dataDxfId="47">
      <calculatedColumnFormula>SUMIF(Sheet5!$A:$A,DataSet_BON!A2,Sheet5!$F:$F)</calculatedColumnFormula>
    </tableColumn>
    <tableColumn id="32" xr3:uid="{FFDB7EED-907A-4B83-BD36-F7F1B990FEF0}" name="Montant Avance" dataDxfId="46">
      <calculatedColumnFormula>SUMIF(AVANCES!$A:$A,DataSet_BON!A2,AVANCES!$E:$E)</calculatedColumnFormula>
    </tableColumn>
    <tableColumn id="6" xr3:uid="{F8697581-71EB-47C8-AD51-2CBC6B685BF3}" name="IDEMNITE PRIME" dataDxfId="45">
      <calculatedColumnFormula>SUMIF(INDEMNITES_PRIMES!$A:$A,DataSet_BON!A2,INDEMNITES_PRIMES!$J:$J)</calculatedColumnFormula>
    </tableColumn>
    <tableColumn id="8" xr3:uid="{FE7045FC-328E-4958-B07F-AC54F30C2443}" name="salaire horaire" dataDxfId="44">
      <calculatedColumnFormula>IFERROR(INDEX(Sheet1!$M$2:$U$68,MATCH(INDEX(Sheet1!$B$4:$H$15,MATCH(DataSet_BON!I2,Sheet1!$B$4:$B$15,0),MATCH(DataSet_BON!H2,Sheet1!$B$4:$H$4,0)),Sheet1!$M$2:$M$68,0),MATCH(DataSet_BON!K2,Sheet1!$M$2:$U$2,0)),VLOOKUP(INDEX(Sheet1!$B$4:$H$15,MATCH(DataSet_BON!I2,Sheet1!$B$4:$B$15,0),MATCH(DataSet_BON!H2,Sheet1!$B$4:$H$4,0)),Sheet1!$J$3:$L$68,3,FALSE))</calculatedColumnFormula>
    </tableColumn>
    <tableColumn id="13" xr3:uid="{EE5156E7-6AA0-4368-BC0E-C4C5F5D2792C}" name="SALAIRE HORAIRE DEFALQUE ABSENCE" dataDxfId="43">
      <calculatedColumnFormula>AF2*AB2</calculatedColumnFormula>
    </tableColumn>
    <tableColumn id="33" xr3:uid="{AF528C85-D584-42FF-B3E3-FD4A8ABD0710}" name="SALAIRE HEURE SUP" dataDxfId="42">
      <calculatedColumnFormula>AF2*AB2</calculatedColumnFormula>
    </tableColumn>
    <tableColumn id="35" xr3:uid="{35EDF39A-1F74-471C-BE72-A73B5A6DF56E}" name="SALAIRE BRUT" dataDxfId="41">
      <calculatedColumnFormula>AF2*160</calculatedColumnFormula>
    </tableColumn>
    <tableColumn id="34" xr3:uid="{7845C397-EF39-438B-8784-FFFE4D17195F}" name="SALAIRE BRUT DEFALQUE AVANCE" dataDxfId="40">
      <calculatedColumnFormula>AI2-AD2</calculatedColumnFormula>
    </tableColumn>
    <tableColumn id="36" xr3:uid="{DC48CA1E-6283-43C5-936D-03A13F2563B2}" name="CSG" dataDxfId="39">
      <calculatedColumnFormula>AI2*2.4/100</calculatedColumnFormula>
    </tableColumn>
    <tableColumn id="37" xr3:uid="{2428F61A-E5CC-4ECB-A873-D26F7365BB3B}" name="CRDS" dataDxfId="38">
      <calculatedColumnFormula>AI2*0.5/100</calculatedColumnFormula>
    </tableColumn>
    <tableColumn id="38" xr3:uid="{80CAEEC7-9F9A-45E2-9621-AC148BFAFEFC}" name="ASSURANCE" dataDxfId="37">
      <calculatedColumnFormula>AI2*3.5/100</calculatedColumnFormula>
    </tableColumn>
    <tableColumn id="39" xr3:uid="{E42BDB57-3F35-4A33-910F-4FE8890B09C8}" name="ALLOCATIONS FAMILIALES" dataDxfId="36">
      <calculatedColumnFormula>AI2*1.7/100</calculatedColumnFormula>
    </tableColumn>
    <tableColumn id="40" xr3:uid="{EBA18394-09FC-4CC8-BFC8-CBF5AB918EB7}" name="AIDE AU LOGEMENT" dataDxfId="35">
      <calculatedColumnFormula>5.4*AI2/100</calculatedColumnFormula>
    </tableColumn>
    <tableColumn id="41" xr3:uid="{1F3755A0-AE0D-4BA1-B3B0-C1ABB1B61B8F}" name="IMPOT SUR LE REVENU" dataDxfId="34">
      <calculatedColumnFormula>AI2*26/100</calculatedColumnFormula>
    </tableColumn>
    <tableColumn id="42" xr3:uid="{8F7111C4-5B38-4087-946D-A7259D0A4B24}" name="SECURITE SOCIALE" dataDxfId="33">
      <calculatedColumnFormula>AI2*2.3/100</calculatedColumnFormula>
    </tableColumn>
    <tableColumn id="43" xr3:uid="{3CEDA9E8-A80F-45F1-8366-5DE26B261A01}" name="CIPRES" dataDxfId="32">
      <calculatedColumnFormula>AI2*2.5/100</calculatedColumnFormula>
    </tableColumn>
    <tableColumn id="44" xr3:uid="{6CCC1C43-16AD-42AC-8D7D-096A26EEA528}" name="SALAIRE NET" dataDxfId="31">
      <calculatedColumnFormula>AI2-AK2-AL2-AM2-AN2-AO2-AP2-AQ2-AR2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16F6D11-F858-462C-8C36-4F73C412273D}" name="Table1" displayName="Table1" ref="A1:F6" totalsRowShown="0" headerRowDxfId="30" headerRowBorderDxfId="29" tableBorderDxfId="28">
  <autoFilter ref="A1:F6" xr:uid="{516F6D11-F858-462C-8C36-4F73C412273D}"/>
  <tableColumns count="6">
    <tableColumn id="1" xr3:uid="{384B353B-8279-47AC-BE96-4034E10DF9E1}" name="Matricle "/>
    <tableColumn id="2" xr3:uid="{66ECE5D6-0127-42C9-80C3-12F66DEAB28E}" name="NOM"/>
    <tableColumn id="3" xr3:uid="{62606DCA-F24C-48F3-AC82-C50E96A42047}" name="PRENOM"/>
    <tableColumn id="4" xr3:uid="{8DBD687C-461F-4B45-8748-98991E24565E}" name="DATE" dataDxfId="27"/>
    <tableColumn id="5" xr3:uid="{840EE2CD-4F48-418B-91BB-8D8D6DC63F36}" name="HEURE SUP"/>
    <tableColumn id="7" xr3:uid="{A8075CD5-17DE-4657-B23B-459F66EAC342}" name="Column1" dataDxfId="26">
      <calculatedColumnFormula>_xlfn.NUMBERVALUE(LEFT(E2,FIND("h",E2,1)-1))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8C413C6-EA8C-4906-BA6B-50724F9888F1}" name="Table3" displayName="Table3" ref="A1:F4" totalsRowShown="0" headerRowDxfId="25" dataDxfId="23" headerRowBorderDxfId="24" tableBorderDxfId="22">
  <autoFilter ref="A1:F4" xr:uid="{68C413C6-EA8C-4906-BA6B-50724F9888F1}"/>
  <tableColumns count="6">
    <tableColumn id="1" xr3:uid="{9AD9C979-48C5-4E46-BC93-C5340D74F23B}" name="Matricule " dataDxfId="21"/>
    <tableColumn id="2" xr3:uid="{98FC2E67-2036-463F-9520-DE337A857B92}" name="NOM" dataDxfId="20"/>
    <tableColumn id="3" xr3:uid="{A513B507-EA24-4037-BD2E-F09D3E32ADB5}" name="PRENOM" dataDxfId="19"/>
    <tableColumn id="4" xr3:uid="{1D78D780-FCA1-4F57-9EC5-8D0052DF1FE2}" name="Date" dataDxfId="18"/>
    <tableColumn id="5" xr3:uid="{E02970FD-70A8-45A0-AC2C-7EB06323F212}" name="NBR ABS" dataDxfId="17"/>
    <tableColumn id="6" xr3:uid="{79092050-DD52-407F-8E6E-3C261C6CA33A}" name="Column1" dataDxfId="16">
      <calculatedColumnFormula>_xlfn.NUMBERVALUE(LEFT(E2,FIND("h",E2,1)-1))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646AC73-CDD6-4921-A39B-C6648CA9F891}" name="Table4" displayName="Table4" ref="A1:C3" totalsRowShown="0" headerRowDxfId="15" headerRowBorderDxfId="14" tableBorderDxfId="13">
  <autoFilter ref="A1:C3" xr:uid="{6646AC73-CDD6-4921-A39B-C6648CA9F891}"/>
  <tableColumns count="3">
    <tableColumn id="1" xr3:uid="{DD1671D2-2F06-4BD4-B460-5E6FA1578EB1}" name="Matricule" dataDxfId="12"/>
    <tableColumn id="2" xr3:uid="{2F874AA9-CF1B-4C64-8A2C-1E53F24E9AD6}" name="Date DEBUT" dataDxfId="11"/>
    <tableColumn id="3" xr3:uid="{4B21CB2E-3597-4744-99AB-CD573D90D7F1}" name="Date FIN" dataDxfId="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EDA1FF9-932E-43B7-B38E-5A0197370768}" name="Table7" displayName="Table7" ref="A1:J6" totalsRowShown="0">
  <autoFilter ref="A1:J6" xr:uid="{1EDA1FF9-932E-43B7-B38E-5A0197370768}"/>
  <tableColumns count="10">
    <tableColumn id="1" xr3:uid="{423FEA9D-E943-45F0-A408-4A8AD7677CBF}" name="MATRICULE"/>
    <tableColumn id="2" xr3:uid="{B00C2DF1-A810-4A24-9BCE-B32AE4CCFAFA}" name="NOM"/>
    <tableColumn id="3" xr3:uid="{5F24AD16-6944-47C4-A220-5834A431E7EE}" name="PRENOM"/>
    <tableColumn id="4" xr3:uid="{7F71D0C0-BCC0-49F3-B4B8-F4EFEBEEFB92}" name="INDEMNITES DE TRANSPORT"/>
    <tableColumn id="5" xr3:uid="{FA2EC13F-9D67-41EA-8C31-DA38D1211590}" name="INDEMNITES DE REPAS"/>
    <tableColumn id="6" xr3:uid="{DD674770-49A5-499A-B07C-989955B14C3E}" name="INDEMNITES DE RISQUE"/>
    <tableColumn id="7" xr3:uid="{B20091D4-BD91-4C25-8F78-E967B21C0124}" name="PRIMES DE LOGEMENT"/>
    <tableColumn id="8" xr3:uid="{E3E5D8FE-1ADD-4B30-B558-EFC51B01DCE4}" name="PRIMES D'ETUDES ET DE FORMATION"/>
    <tableColumn id="9" xr3:uid="{2645A675-FD67-4D89-B196-EDE410A075F7}" name="PRIMES CONGES SPECIAUX"/>
    <tableColumn id="10" xr3:uid="{286F9939-45ED-4287-A424-D7F45616A32D}" name="Column1" dataDxfId="9">
      <calculatedColumnFormula>SUM(D2:I2)</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7F19CC-F85C-44B9-A77B-915588EDFED7}" name="Table5" displayName="Table5" ref="A1:E3" totalsRowShown="0" headerRowDxfId="8" dataDxfId="6" headerRowBorderDxfId="7" tableBorderDxfId="5">
  <autoFilter ref="A1:E3" xr:uid="{067F19CC-F85C-44B9-A77B-915588EDFED7}"/>
  <tableColumns count="5">
    <tableColumn id="1" xr3:uid="{C213856A-B589-45CC-978F-A79D28BD7A41}" name="Matricule " dataDxfId="4"/>
    <tableColumn id="2" xr3:uid="{4A4C01BD-52CE-46FB-9281-1BEE40E0ED44}" name="NOM" dataDxfId="3"/>
    <tableColumn id="3" xr3:uid="{94928797-4A93-4344-B8F4-E3508AFA73F8}" name="PRENOM" dataDxfId="2"/>
    <tableColumn id="4" xr3:uid="{5FCC8E58-BBE3-420A-A882-960E618AEE9A}" name="DATE" dataDxfId="1"/>
    <tableColumn id="5" xr3:uid="{DBBE42CB-0EEB-405C-AAE0-C696892A17D4}" name="MONTANT AVANC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1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2B63A33-A6AD-4346-8AA9-17309A8A04D0}">
  <we:reference id="wa200005271" version="2.4.3.0" store="en-US" storeType="OMEX"/>
  <we:alternateReferences>
    <we:reference id="wa200005271" version="2.4.3.0" store="wa200005271"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5.xml"/><Relationship Id="rId5" Type="http://schemas.microsoft.com/office/2007/relationships/slicer" Target="../slicers/slicer2.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14B8B-C471-4309-B0F7-1C77EBB8C62A}">
  <sheetPr codeName="Feuil1"/>
  <dimension ref="B1:D26"/>
  <sheetViews>
    <sheetView showGridLines="0" zoomScaleNormal="100" workbookViewId="0"/>
  </sheetViews>
  <sheetFormatPr baseColWidth="10" defaultColWidth="9.81640625" defaultRowHeight="14.5" x14ac:dyDescent="0.35"/>
  <cols>
    <col min="1" max="1" width="3.453125" customWidth="1"/>
    <col min="2" max="2" width="55.90625" customWidth="1"/>
    <col min="3" max="3" width="27.54296875" customWidth="1"/>
    <col min="4" max="4" width="3.08984375" customWidth="1"/>
  </cols>
  <sheetData>
    <row r="1" spans="2:4" x14ac:dyDescent="0.35">
      <c r="B1" s="41"/>
      <c r="C1" s="42"/>
    </row>
    <row r="2" spans="2:4" ht="65.5" customHeight="1" x14ac:dyDescent="0.85">
      <c r="B2" s="48" t="s">
        <v>412</v>
      </c>
      <c r="C2" s="48"/>
      <c r="D2" t="s">
        <v>413</v>
      </c>
    </row>
    <row r="3" spans="2:4" ht="60" customHeight="1" x14ac:dyDescent="0.35">
      <c r="B3" s="49" t="s">
        <v>414</v>
      </c>
      <c r="C3" s="49"/>
    </row>
    <row r="4" spans="2:4" ht="21" x14ac:dyDescent="0.5">
      <c r="B4" s="40" t="s">
        <v>424</v>
      </c>
      <c r="C4" s="21"/>
    </row>
    <row r="5" spans="2:4" s="15" customFormat="1" ht="16" x14ac:dyDescent="0.4">
      <c r="B5" s="22"/>
      <c r="C5" s="23"/>
    </row>
    <row r="6" spans="2:4" ht="18.5" x14ac:dyDescent="0.45">
      <c r="B6" s="20" t="s">
        <v>415</v>
      </c>
      <c r="C6" s="20" t="s">
        <v>416</v>
      </c>
    </row>
    <row r="7" spans="2:4" x14ac:dyDescent="0.35">
      <c r="B7" s="24" t="s">
        <v>434</v>
      </c>
      <c r="C7" s="25" t="str">
        <f>VLOOKUP(RIGHT(B8,6),DataSet_BON!A2:$W$42,23,FALSE)</f>
        <v>BICIS</v>
      </c>
    </row>
    <row r="8" spans="2:4" x14ac:dyDescent="0.35">
      <c r="B8" s="24" t="s">
        <v>433</v>
      </c>
      <c r="C8" s="25"/>
    </row>
    <row r="9" spans="2:4" s="16" customFormat="1" x14ac:dyDescent="0.35">
      <c r="B9" s="26" t="str">
        <f>"TEL : " &amp; VLOOKUP(RIGHT(B8,6),DataSet_BON!A2:$W$42,17,FALSE)</f>
        <v>TEL : 781805305</v>
      </c>
      <c r="C9" s="25"/>
    </row>
    <row r="10" spans="2:4" ht="28.25" customHeight="1" x14ac:dyDescent="0.35">
      <c r="B10" s="17" t="s">
        <v>432</v>
      </c>
      <c r="C10" s="17" t="s">
        <v>417</v>
      </c>
    </row>
    <row r="11" spans="2:4" s="18" customFormat="1" ht="28.25" customHeight="1" x14ac:dyDescent="0.35">
      <c r="B11" s="25" t="s">
        <v>427</v>
      </c>
      <c r="C11" s="36">
        <v>0</v>
      </c>
    </row>
    <row r="12" spans="2:4" s="18" customFormat="1" ht="28.25" customHeight="1" x14ac:dyDescent="0.35">
      <c r="B12" s="25" t="s">
        <v>428</v>
      </c>
      <c r="C12" s="36">
        <v>0</v>
      </c>
    </row>
    <row r="13" spans="2:4" s="18" customFormat="1" ht="28.25" customHeight="1" x14ac:dyDescent="0.35">
      <c r="B13" s="25" t="s">
        <v>429</v>
      </c>
      <c r="C13" s="36">
        <v>0</v>
      </c>
    </row>
    <row r="14" spans="2:4" s="18" customFormat="1" ht="28.25" customHeight="1" x14ac:dyDescent="0.35">
      <c r="B14" s="25" t="s">
        <v>430</v>
      </c>
      <c r="C14" s="36">
        <v>0</v>
      </c>
    </row>
    <row r="15" spans="2:4" ht="28.25" customHeight="1" x14ac:dyDescent="0.35">
      <c r="B15" s="25" t="s">
        <v>431</v>
      </c>
      <c r="C15" s="36">
        <v>282</v>
      </c>
    </row>
    <row r="16" spans="2:4" ht="28.25" customHeight="1" x14ac:dyDescent="0.35">
      <c r="B16" s="27" t="s">
        <v>425</v>
      </c>
      <c r="C16" s="37">
        <f>C15*160</f>
        <v>45120</v>
      </c>
    </row>
    <row r="17" spans="2:3" ht="28.25" customHeight="1" x14ac:dyDescent="0.35">
      <c r="B17" s="27" t="s">
        <v>418</v>
      </c>
      <c r="C17" s="28">
        <v>0.443</v>
      </c>
    </row>
    <row r="18" spans="2:3" ht="28.25" customHeight="1" x14ac:dyDescent="0.35">
      <c r="B18" s="27" t="s">
        <v>426</v>
      </c>
      <c r="C18" s="39">
        <f>C16*C17</f>
        <v>19988.16</v>
      </c>
    </row>
    <row r="19" spans="2:3" ht="28.25" customHeight="1" x14ac:dyDescent="0.35">
      <c r="B19" s="19" t="s">
        <v>419</v>
      </c>
      <c r="C19" s="38">
        <f ca="1">VLOOKUP(RIGHT(B8,6),DataSet_BON!A2:$AS$42,45,FALSE)</f>
        <v>25885.795199999997</v>
      </c>
    </row>
    <row r="20" spans="2:3" ht="42" customHeight="1" x14ac:dyDescent="0.45">
      <c r="B20" s="30" t="s">
        <v>420</v>
      </c>
      <c r="C20" s="31"/>
    </row>
    <row r="21" spans="2:3" ht="25.5" customHeight="1" x14ac:dyDescent="0.35">
      <c r="B21" s="32" t="s">
        <v>421</v>
      </c>
      <c r="C21" s="32"/>
    </row>
    <row r="22" spans="2:3" x14ac:dyDescent="0.35">
      <c r="B22" s="32" t="s">
        <v>422</v>
      </c>
      <c r="C22" s="32"/>
    </row>
    <row r="23" spans="2:3" x14ac:dyDescent="0.35">
      <c r="B23" s="32"/>
      <c r="C23" s="32"/>
    </row>
    <row r="24" spans="2:3" ht="18.5" x14ac:dyDescent="0.45">
      <c r="B24" s="35" t="s">
        <v>423</v>
      </c>
      <c r="C24" s="34"/>
    </row>
    <row r="25" spans="2:3" ht="20.149999999999999" customHeight="1" x14ac:dyDescent="0.35">
      <c r="B25" s="33"/>
      <c r="C25" s="33"/>
    </row>
    <row r="26" spans="2:3" ht="14.5" customHeight="1" x14ac:dyDescent="0.35">
      <c r="B26" s="29"/>
      <c r="C26" s="29"/>
    </row>
  </sheetData>
  <mergeCells count="2">
    <mergeCell ref="B2:C2"/>
    <mergeCell ref="B3:C3"/>
  </mergeCells>
  <dataValidations count="15">
    <dataValidation allowBlank="1" showInputMessage="1" showErrorMessage="1" prompt="Le coût total est automatiquement calculé dans la cellule de droite" sqref="B19" xr:uid="{13D6B18A-9921-4CFE-9DA0-DD23672AADD0}"/>
    <dataValidation allowBlank="1" showInputMessage="1" showErrorMessage="1" prompt="Entrez la description de l'élément dans cette colonne" sqref="B10" xr:uid="{521E11BF-A5F4-458A-9B52-DA35B87AA382}"/>
    <dataValidation allowBlank="1" showInputMessage="1" showErrorMessage="1" prompt="Entrez la quantité dans cette colonne. Entrez le taux d’imposition et les autres coûts dans les cellules situées sous le tableau pour calculer le sous-total et le coût Total." sqref="C10" xr:uid="{856AA2ED-3A42-4E87-8DBC-EDF5D8D68DA4}"/>
    <dataValidation allowBlank="1" showInputMessage="1" showErrorMessage="1" prompt="Le sous-total est calculé automatiquement dans la cellule à droite." sqref="B16" xr:uid="{5388A147-2937-4341-92A5-BB922275AA2B}"/>
    <dataValidation allowBlank="1" showInputMessage="1" showErrorMessage="1" prompt="Entrez le taux de TVA dans la cellule de droite" sqref="B17" xr:uid="{5F039D01-B81B-4A0A-874B-D531D3D0F392}"/>
    <dataValidation allowBlank="1" showInputMessage="1" showErrorMessage="1" prompt="Entrez tous les autres coûts dans la cellule de droite" sqref="B18" xr:uid="{BFAE5601-6AFD-4EC8-9268-44956E742C8E}"/>
    <dataValidation allowBlank="1" showInputMessage="1" showErrorMessage="1" prompt="Le sous-total est automatiquement calculé dans cette cellule" sqref="C16:C18" xr:uid="{7D0D77DF-8C1C-4647-967F-4BDEEA61E741}"/>
    <dataValidation allowBlank="1" showInputMessage="1" showErrorMessage="1" prompt="Le coût total est automatiquement calculé dans cette cellule" sqref="C19" xr:uid="{D208FEA1-3925-4BBE-B8D9-8A94C3D10883}"/>
    <dataValidation allowBlank="1" showInputMessage="1" showErrorMessage="1" prompt="Mettre à jour cette cellule avec les dus corrects au Nom de l’Entreprise" sqref="B20" xr:uid="{B25B4552-6CE2-4BF5-937A-DECAC1A0F3DF}"/>
    <dataValidation allowBlank="1" showInputMessage="1" showErrorMessage="1" prompt="Entrez le nom, le numéro de téléphone et l’adresse e-mail du contact de la société qui émet la facture dans cette cellule." sqref="B22" xr:uid="{CD970884-84DA-4772-A698-6F608A04F488}"/>
    <dataValidation allowBlank="1" showInputMessage="1" showErrorMessage="1" prompt="Entrez la description du produit de la facture ci-dessous" sqref="C6" xr:uid="{6029C691-1801-4107-8160-7AE96DC96044}"/>
    <dataValidation allowBlank="1" showInputMessage="1" showErrorMessage="1" prompt="Entrez la facture pour les détails du client ci-dessous" sqref="B6" xr:uid="{8E4416CA-FD7A-48C7-B371-F53DFF01D3A0}"/>
    <dataValidation allowBlank="1" showInputMessage="1" showErrorMessage="1" prompt="Entrez la date de la facture dans cette cellule." sqref="B5" xr:uid="{8D706BC5-9A3F-4EF2-8CA4-2CCD91B65D36}"/>
    <dataValidation allowBlank="1" showInputMessage="1" showErrorMessage="1" prompt="Entrez le numéro de la facture dans cette cellule." sqref="B4" xr:uid="{F365AD9A-063D-4848-A2C3-8C60247E4B42}"/>
    <dataValidation allowBlank="1" showInputMessage="1" showErrorMessage="1" promptTitle="Modèle de facture" prompt="Détails de la facture _x000a_Enter, élément description, montant, taux d’imposition et les autres coûts. Les coûts de sous-total et Total sont calculés automatiquement." sqref="A2" xr:uid="{F62D7E4C-55A9-46A6-BA1A-1CDE99B4AA57}"/>
  </dataValidations>
  <printOptions horizontalCentered="1"/>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24198-70FF-4D2D-ACA1-36F917D99F36}">
  <sheetPr codeName="Sheet10"/>
  <dimension ref="A3:C68"/>
  <sheetViews>
    <sheetView workbookViewId="0">
      <selection activeCell="C6" sqref="C6"/>
    </sheetView>
  </sheetViews>
  <sheetFormatPr baseColWidth="10" defaultColWidth="8.7265625" defaultRowHeight="14.5" x14ac:dyDescent="0.35"/>
  <cols>
    <col min="1" max="1" width="12.453125" bestFit="1" customWidth="1"/>
    <col min="2" max="2" width="21.6328125" bestFit="1" customWidth="1"/>
    <col min="3" max="3" width="18.81640625" bestFit="1" customWidth="1"/>
  </cols>
  <sheetData>
    <row r="3" spans="1:3" x14ac:dyDescent="0.35">
      <c r="A3" s="43" t="s">
        <v>436</v>
      </c>
      <c r="B3" t="s">
        <v>435</v>
      </c>
    </row>
    <row r="4" spans="1:3" x14ac:dyDescent="0.35">
      <c r="A4" s="44" t="s">
        <v>23</v>
      </c>
      <c r="B4">
        <v>17</v>
      </c>
    </row>
    <row r="5" spans="1:3" x14ac:dyDescent="0.35">
      <c r="A5" s="44" t="s">
        <v>15</v>
      </c>
      <c r="B5">
        <v>24</v>
      </c>
    </row>
    <row r="6" spans="1:3" x14ac:dyDescent="0.35">
      <c r="A6" s="44" t="s">
        <v>437</v>
      </c>
      <c r="B6">
        <v>41</v>
      </c>
      <c r="C6">
        <f>GETPIVOTDATA("Matricule",$A$3)</f>
        <v>41</v>
      </c>
    </row>
    <row r="8" spans="1:3" x14ac:dyDescent="0.35">
      <c r="A8" s="43" t="s">
        <v>436</v>
      </c>
      <c r="B8" t="s">
        <v>435</v>
      </c>
    </row>
    <row r="9" spans="1:3" x14ac:dyDescent="0.35">
      <c r="A9" s="44" t="s">
        <v>438</v>
      </c>
      <c r="B9">
        <v>19</v>
      </c>
    </row>
    <row r="10" spans="1:3" x14ac:dyDescent="0.35">
      <c r="A10" s="44" t="s">
        <v>439</v>
      </c>
      <c r="B10">
        <v>1</v>
      </c>
    </row>
    <row r="11" spans="1:3" x14ac:dyDescent="0.35">
      <c r="A11" s="44" t="s">
        <v>440</v>
      </c>
      <c r="B11">
        <v>2</v>
      </c>
    </row>
    <row r="12" spans="1:3" x14ac:dyDescent="0.35">
      <c r="A12" s="44" t="s">
        <v>441</v>
      </c>
      <c r="B12">
        <v>19</v>
      </c>
    </row>
    <row r="13" spans="1:3" x14ac:dyDescent="0.35">
      <c r="A13" s="44" t="s">
        <v>437</v>
      </c>
      <c r="B13">
        <v>41</v>
      </c>
    </row>
    <row r="16" spans="1:3" x14ac:dyDescent="0.35">
      <c r="A16" s="43" t="s">
        <v>436</v>
      </c>
      <c r="B16" t="s">
        <v>442</v>
      </c>
    </row>
    <row r="17" spans="1:2" x14ac:dyDescent="0.35">
      <c r="A17" s="44" t="s">
        <v>50</v>
      </c>
      <c r="B17">
        <v>52406.400000000001</v>
      </c>
    </row>
    <row r="18" spans="1:2" x14ac:dyDescent="0.35">
      <c r="A18" s="44" t="s">
        <v>43</v>
      </c>
      <c r="B18">
        <v>106351.99999999999</v>
      </c>
    </row>
    <row r="19" spans="1:2" x14ac:dyDescent="0.35">
      <c r="A19" s="44" t="s">
        <v>40</v>
      </c>
      <c r="B19">
        <v>47376</v>
      </c>
    </row>
    <row r="20" spans="1:2" x14ac:dyDescent="0.35">
      <c r="A20" s="44" t="s">
        <v>48</v>
      </c>
      <c r="B20">
        <v>301000</v>
      </c>
    </row>
    <row r="21" spans="1:2" x14ac:dyDescent="0.35">
      <c r="A21" s="44" t="s">
        <v>17</v>
      </c>
      <c r="B21">
        <v>444796</v>
      </c>
    </row>
    <row r="22" spans="1:2" x14ac:dyDescent="0.35">
      <c r="A22" s="44" t="s">
        <v>52</v>
      </c>
      <c r="B22">
        <v>131380.79999999999</v>
      </c>
    </row>
    <row r="23" spans="1:2" x14ac:dyDescent="0.35">
      <c r="A23" s="44" t="s">
        <v>20</v>
      </c>
      <c r="B23">
        <v>150080</v>
      </c>
    </row>
    <row r="24" spans="1:2" x14ac:dyDescent="0.35">
      <c r="A24" s="44" t="s">
        <v>25</v>
      </c>
      <c r="B24">
        <v>93688.639999999999</v>
      </c>
    </row>
    <row r="25" spans="1:2" x14ac:dyDescent="0.35">
      <c r="A25" s="44" t="s">
        <v>33</v>
      </c>
      <c r="B25">
        <v>149592</v>
      </c>
    </row>
    <row r="26" spans="1:2" x14ac:dyDescent="0.35">
      <c r="A26" s="44" t="s">
        <v>36</v>
      </c>
      <c r="B26">
        <v>258152.00000000006</v>
      </c>
    </row>
    <row r="27" spans="1:2" x14ac:dyDescent="0.35">
      <c r="A27" s="44" t="s">
        <v>54</v>
      </c>
      <c r="B27">
        <v>142531.20000000001</v>
      </c>
    </row>
    <row r="28" spans="1:2" x14ac:dyDescent="0.35">
      <c r="A28" s="44" t="s">
        <v>437</v>
      </c>
      <c r="B28">
        <v>131089.32682926831</v>
      </c>
    </row>
    <row r="30" spans="1:2" x14ac:dyDescent="0.35">
      <c r="A30" s="43" t="s">
        <v>436</v>
      </c>
      <c r="B30" t="s">
        <v>442</v>
      </c>
    </row>
    <row r="31" spans="1:2" x14ac:dyDescent="0.35">
      <c r="A31" s="44" t="s">
        <v>32</v>
      </c>
      <c r="B31">
        <v>177010.66666666666</v>
      </c>
    </row>
    <row r="32" spans="1:2" x14ac:dyDescent="0.35">
      <c r="A32" s="44" t="s">
        <v>35</v>
      </c>
      <c r="B32">
        <v>58594.880000000005</v>
      </c>
    </row>
    <row r="33" spans="1:2" x14ac:dyDescent="0.35">
      <c r="A33" s="44" t="s">
        <v>42</v>
      </c>
      <c r="B33">
        <v>236117.33333333334</v>
      </c>
    </row>
    <row r="34" spans="1:2" x14ac:dyDescent="0.35">
      <c r="A34" s="44" t="s">
        <v>24</v>
      </c>
      <c r="B34">
        <v>91714.28571428571</v>
      </c>
    </row>
    <row r="35" spans="1:2" x14ac:dyDescent="0.35">
      <c r="A35" s="44" t="s">
        <v>16</v>
      </c>
      <c r="B35">
        <v>287704</v>
      </c>
    </row>
    <row r="36" spans="1:2" x14ac:dyDescent="0.35">
      <c r="A36" s="44" t="s">
        <v>71</v>
      </c>
      <c r="B36">
        <v>63360</v>
      </c>
    </row>
    <row r="37" spans="1:2" x14ac:dyDescent="0.35">
      <c r="A37" s="44" t="s">
        <v>437</v>
      </c>
      <c r="B37">
        <v>131089.32682926831</v>
      </c>
    </row>
    <row r="40" spans="1:2" x14ac:dyDescent="0.35">
      <c r="A40" s="43" t="s">
        <v>436</v>
      </c>
      <c r="B40" t="s">
        <v>435</v>
      </c>
    </row>
    <row r="41" spans="1:2" x14ac:dyDescent="0.35">
      <c r="A41" s="44" t="s">
        <v>32</v>
      </c>
      <c r="B41">
        <v>3</v>
      </c>
    </row>
    <row r="42" spans="1:2" x14ac:dyDescent="0.35">
      <c r="A42" s="44" t="s">
        <v>35</v>
      </c>
      <c r="B42">
        <v>5</v>
      </c>
    </row>
    <row r="43" spans="1:2" x14ac:dyDescent="0.35">
      <c r="A43" s="44" t="s">
        <v>42</v>
      </c>
      <c r="B43">
        <v>3</v>
      </c>
    </row>
    <row r="44" spans="1:2" x14ac:dyDescent="0.35">
      <c r="A44" s="44" t="s">
        <v>24</v>
      </c>
      <c r="B44">
        <v>21</v>
      </c>
    </row>
    <row r="45" spans="1:2" x14ac:dyDescent="0.35">
      <c r="A45" s="44" t="s">
        <v>16</v>
      </c>
      <c r="B45">
        <v>6</v>
      </c>
    </row>
    <row r="46" spans="1:2" x14ac:dyDescent="0.35">
      <c r="A46" s="44" t="s">
        <v>71</v>
      </c>
      <c r="B46">
        <v>3</v>
      </c>
    </row>
    <row r="47" spans="1:2" x14ac:dyDescent="0.35">
      <c r="A47" s="44" t="s">
        <v>437</v>
      </c>
      <c r="B47">
        <v>41</v>
      </c>
    </row>
    <row r="50" spans="1:2" x14ac:dyDescent="0.35">
      <c r="A50" s="43" t="s">
        <v>436</v>
      </c>
      <c r="B50" t="s">
        <v>435</v>
      </c>
    </row>
    <row r="51" spans="1:2" x14ac:dyDescent="0.35">
      <c r="A51" s="44" t="s">
        <v>50</v>
      </c>
      <c r="B51">
        <v>1</v>
      </c>
    </row>
    <row r="52" spans="1:2" x14ac:dyDescent="0.35">
      <c r="A52" s="44" t="s">
        <v>43</v>
      </c>
      <c r="B52">
        <v>1</v>
      </c>
    </row>
    <row r="53" spans="1:2" x14ac:dyDescent="0.35">
      <c r="A53" s="44" t="s">
        <v>40</v>
      </c>
      <c r="B53">
        <v>3</v>
      </c>
    </row>
    <row r="54" spans="1:2" x14ac:dyDescent="0.35">
      <c r="A54" s="44" t="s">
        <v>48</v>
      </c>
      <c r="B54">
        <v>2</v>
      </c>
    </row>
    <row r="55" spans="1:2" x14ac:dyDescent="0.35">
      <c r="A55" s="44" t="s">
        <v>17</v>
      </c>
      <c r="B55">
        <v>2</v>
      </c>
    </row>
    <row r="56" spans="1:2" x14ac:dyDescent="0.35">
      <c r="A56" s="44" t="s">
        <v>52</v>
      </c>
      <c r="B56">
        <v>1</v>
      </c>
    </row>
    <row r="57" spans="1:2" x14ac:dyDescent="0.35">
      <c r="A57" s="44" t="s">
        <v>20</v>
      </c>
      <c r="B57">
        <v>2</v>
      </c>
    </row>
    <row r="58" spans="1:2" x14ac:dyDescent="0.35">
      <c r="A58" s="44" t="s">
        <v>25</v>
      </c>
      <c r="B58">
        <v>25</v>
      </c>
    </row>
    <row r="59" spans="1:2" x14ac:dyDescent="0.35">
      <c r="A59" s="44" t="s">
        <v>33</v>
      </c>
      <c r="B59">
        <v>1</v>
      </c>
    </row>
    <row r="60" spans="1:2" x14ac:dyDescent="0.35">
      <c r="A60" s="44" t="s">
        <v>36</v>
      </c>
      <c r="B60">
        <v>2</v>
      </c>
    </row>
    <row r="61" spans="1:2" x14ac:dyDescent="0.35">
      <c r="A61" s="44" t="s">
        <v>54</v>
      </c>
      <c r="B61">
        <v>1</v>
      </c>
    </row>
    <row r="62" spans="1:2" x14ac:dyDescent="0.35">
      <c r="A62" s="44" t="s">
        <v>437</v>
      </c>
      <c r="B62">
        <v>41</v>
      </c>
    </row>
    <row r="65" spans="1:2" x14ac:dyDescent="0.35">
      <c r="A65" s="43" t="s">
        <v>436</v>
      </c>
      <c r="B65" t="s">
        <v>442</v>
      </c>
    </row>
    <row r="66" spans="1:2" x14ac:dyDescent="0.35">
      <c r="A66" s="44" t="s">
        <v>23</v>
      </c>
      <c r="B66">
        <v>138972.23529411765</v>
      </c>
    </row>
    <row r="67" spans="1:2" x14ac:dyDescent="0.35">
      <c r="A67" s="44" t="s">
        <v>15</v>
      </c>
      <c r="B67">
        <v>125505.59999999999</v>
      </c>
    </row>
    <row r="68" spans="1:2" x14ac:dyDescent="0.35">
      <c r="A68" s="44" t="s">
        <v>437</v>
      </c>
      <c r="B68">
        <v>131089.32682926831</v>
      </c>
    </row>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9EA9CB-59DD-48EC-A4B3-DC587D48BFD6}">
  <sheetPr codeName="Sheet4">
    <tabColor rgb="FFFF0000"/>
  </sheetPr>
  <dimension ref="A1:AU42"/>
  <sheetViews>
    <sheetView topLeftCell="AG1" workbookViewId="0">
      <selection activeCell="AU8" sqref="AU8"/>
    </sheetView>
  </sheetViews>
  <sheetFormatPr baseColWidth="10" defaultColWidth="8.81640625" defaultRowHeight="14.5" x14ac:dyDescent="0.35"/>
  <cols>
    <col min="1" max="1" width="11.08984375" bestFit="1" customWidth="1"/>
    <col min="2" max="2" width="11.36328125" bestFit="1" customWidth="1"/>
    <col min="3" max="3" width="12.36328125" bestFit="1" customWidth="1"/>
    <col min="4" max="4" width="18.6328125" bestFit="1" customWidth="1"/>
    <col min="5" max="5" width="6.6328125" bestFit="1" customWidth="1"/>
    <col min="6" max="6" width="14.54296875" bestFit="1" customWidth="1"/>
    <col min="7" max="7" width="7.453125" bestFit="1" customWidth="1"/>
    <col min="8" max="8" width="11.36328125" bestFit="1" customWidth="1"/>
    <col min="9" max="9" width="14" bestFit="1" customWidth="1"/>
    <col min="10" max="10" width="14.1796875" bestFit="1" customWidth="1"/>
    <col min="11" max="11" width="9.453125" bestFit="1" customWidth="1"/>
    <col min="12" max="12" width="16.36328125" bestFit="1" customWidth="1"/>
    <col min="13" max="13" width="12.54296875" bestFit="1" customWidth="1"/>
    <col min="14" max="14" width="19.6328125" bestFit="1" customWidth="1"/>
    <col min="15" max="19" width="19.6328125" customWidth="1"/>
    <col min="20" max="20" width="28.54296875" bestFit="1" customWidth="1"/>
    <col min="21" max="27" width="19.6328125" customWidth="1"/>
    <col min="28" max="29" width="10.36328125" bestFit="1" customWidth="1"/>
    <col min="30" max="30" width="16.453125" bestFit="1" customWidth="1"/>
    <col min="31" max="31" width="16.90625" bestFit="1" customWidth="1"/>
    <col min="32" max="32" width="15.08984375" bestFit="1" customWidth="1"/>
    <col min="33" max="34" width="10.36328125" bestFit="1" customWidth="1"/>
    <col min="35" max="35" width="14.81640625" bestFit="1" customWidth="1"/>
    <col min="36" max="36" width="31.54296875" bestFit="1" customWidth="1"/>
    <col min="37" max="45" width="10.36328125" bestFit="1" customWidth="1"/>
  </cols>
  <sheetData>
    <row r="1" spans="1:47" x14ac:dyDescent="0.35">
      <c r="A1" s="1" t="s">
        <v>0</v>
      </c>
      <c r="B1" s="1" t="s">
        <v>1</v>
      </c>
      <c r="C1" s="1" t="s">
        <v>2</v>
      </c>
      <c r="D1" s="1" t="s">
        <v>3</v>
      </c>
      <c r="E1" s="1" t="s">
        <v>4</v>
      </c>
      <c r="F1" s="1" t="s">
        <v>5</v>
      </c>
      <c r="G1" s="1" t="s">
        <v>6</v>
      </c>
      <c r="H1" s="1" t="s">
        <v>7</v>
      </c>
      <c r="I1" s="1" t="s">
        <v>8</v>
      </c>
      <c r="J1" s="1" t="s">
        <v>10</v>
      </c>
      <c r="K1" s="1" t="s">
        <v>11</v>
      </c>
      <c r="L1" s="1" t="s">
        <v>12</v>
      </c>
      <c r="M1" s="1" t="s">
        <v>156</v>
      </c>
      <c r="N1" s="1" t="s">
        <v>157</v>
      </c>
      <c r="O1" s="1" t="s">
        <v>158</v>
      </c>
      <c r="P1" s="1" t="s">
        <v>159</v>
      </c>
      <c r="Q1" s="1" t="s">
        <v>160</v>
      </c>
      <c r="R1" s="1" t="s">
        <v>161</v>
      </c>
      <c r="S1" s="1" t="s">
        <v>162</v>
      </c>
      <c r="T1" s="1" t="s">
        <v>163</v>
      </c>
      <c r="U1" s="1" t="s">
        <v>164</v>
      </c>
      <c r="V1" s="1" t="s">
        <v>165</v>
      </c>
      <c r="W1" s="1" t="s">
        <v>166</v>
      </c>
      <c r="X1" s="1" t="s">
        <v>167</v>
      </c>
      <c r="Y1" s="1" t="s">
        <v>168</v>
      </c>
      <c r="Z1" s="1" t="s">
        <v>351</v>
      </c>
      <c r="AA1" s="1" t="s">
        <v>9</v>
      </c>
      <c r="AB1" t="s">
        <v>375</v>
      </c>
      <c r="AC1" t="s">
        <v>376</v>
      </c>
      <c r="AD1" t="s">
        <v>377</v>
      </c>
      <c r="AE1" t="s">
        <v>397</v>
      </c>
      <c r="AF1" t="s">
        <v>398</v>
      </c>
      <c r="AG1" t="s">
        <v>399</v>
      </c>
      <c r="AH1" t="s">
        <v>402</v>
      </c>
      <c r="AI1" t="s">
        <v>400</v>
      </c>
      <c r="AJ1" t="s">
        <v>401</v>
      </c>
      <c r="AK1" t="s">
        <v>403</v>
      </c>
      <c r="AL1" t="s">
        <v>404</v>
      </c>
      <c r="AM1" t="s">
        <v>405</v>
      </c>
      <c r="AN1" t="s">
        <v>406</v>
      </c>
      <c r="AO1" t="s">
        <v>407</v>
      </c>
      <c r="AP1" t="s">
        <v>408</v>
      </c>
      <c r="AQ1" t="s">
        <v>409</v>
      </c>
      <c r="AR1" t="s">
        <v>410</v>
      </c>
      <c r="AS1" t="s">
        <v>411</v>
      </c>
    </row>
    <row r="2" spans="1:47" x14ac:dyDescent="0.35">
      <c r="A2" s="2" t="s">
        <v>13</v>
      </c>
      <c r="B2" t="s">
        <v>78</v>
      </c>
      <c r="C2" t="s">
        <v>79</v>
      </c>
      <c r="D2" s="3">
        <v>34196</v>
      </c>
      <c r="E2" s="2">
        <f ca="1">DATEDIF(Tableau93[[#This Row],[Date de Naissance]],TODAY(),"y")</f>
        <v>31</v>
      </c>
      <c r="F2" s="2" t="str">
        <f ca="1">IF(AND(Tableau93[[#This Row],[AGE]]&gt;0,Tableau93[[#This Row],[AGE]]&lt;=30),"0-30",IF(AND(Tableau93[[#This Row],[AGE]]&gt;30,Tableau93[[#This Row],[AGE]]&lt;=40),"30-40","&gt;50 ans"))</f>
        <v>30-40</v>
      </c>
      <c r="G2" s="2" t="s">
        <v>23</v>
      </c>
      <c r="H2" s="2" t="s">
        <v>16</v>
      </c>
      <c r="I2" s="3" t="s">
        <v>17</v>
      </c>
      <c r="J2" s="3">
        <v>43466</v>
      </c>
      <c r="K2" s="2">
        <f ca="1">DATEDIF(Tableau93[[#This Row],[Date Embauche]],TODAY(),"y")</f>
        <v>6</v>
      </c>
      <c r="L2"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2" s="2">
        <v>15647</v>
      </c>
      <c r="N2" s="8" t="s">
        <v>169</v>
      </c>
      <c r="O2" s="2" t="s">
        <v>170</v>
      </c>
      <c r="P2" s="2">
        <v>4</v>
      </c>
      <c r="Q2" s="8" t="s">
        <v>171</v>
      </c>
      <c r="R2" s="2" t="s">
        <v>172</v>
      </c>
      <c r="S2" s="2" t="s">
        <v>173</v>
      </c>
      <c r="T2" s="2">
        <v>60771</v>
      </c>
      <c r="U2" s="2" t="s">
        <v>174</v>
      </c>
      <c r="V2" s="2" t="s">
        <v>175</v>
      </c>
      <c r="W2" s="2" t="s">
        <v>176</v>
      </c>
      <c r="X2" s="2" t="s">
        <v>177</v>
      </c>
      <c r="Y2" s="3">
        <f>Tableau93[[#This Row],[Date Embauche]]+8000</f>
        <v>51466</v>
      </c>
      <c r="Z2" s="2" t="s">
        <v>14</v>
      </c>
      <c r="AA2" s="3" t="s">
        <v>18</v>
      </c>
      <c r="AB2" s="14">
        <f>SUMIF(Sheet2!$A:$A,DataSet_BON!A2,Sheet2!$F:$F)</f>
        <v>0</v>
      </c>
      <c r="AC2" s="14">
        <f>SUMIF(Sheet5!$A:$A,DataSet_BON!A2,Sheet5!$F:$F)</f>
        <v>0</v>
      </c>
      <c r="AD2" s="14">
        <f>SUMIF(AVANCES!$A:$A,DataSet_BON!A2,AVANCES!$E:$E)</f>
        <v>0</v>
      </c>
      <c r="AE2" s="14">
        <f>SUMIF(INDEMNITES_PRIMES!$A:$A,DataSet_BON!A2,INDEMNITES_PRIMES!$J:$J)</f>
        <v>0</v>
      </c>
      <c r="AF2" s="8">
        <f ca="1">IFERROR(INDEX(Sheet1!$M$2:$U$68,MATCH(INDEX(Sheet1!$B$4:$H$15,MATCH(DataSet_BON!I2,Sheet1!$B$4:$B$15,0),MATCH(DataSet_BON!H2,Sheet1!$B$4:$H$4,0)),Sheet1!$M$2:$M$68,0),MATCH(DataSet_BON!K2,Sheet1!$M$2:$U$2,0)),VLOOKUP(INDEX(Sheet1!$B$4:$H$15,MATCH(DataSet_BON!I2,Sheet1!$B$4:$B$15,0),MATCH(DataSet_BON!H2,Sheet1!$B$4:$H$4,0)),Sheet1!$J$3:$L$68,3,FALSE))</f>
        <v>4008.7300000000005</v>
      </c>
      <c r="AG2" s="14">
        <f t="shared" ref="AG2:AG42" ca="1" si="0">AF2*AB2</f>
        <v>0</v>
      </c>
      <c r="AH2" s="14">
        <f t="shared" ref="AH2:AH42" ca="1" si="1">AF2*AB2</f>
        <v>0</v>
      </c>
      <c r="AI2" s="14">
        <f t="shared" ref="AI2:AI42" ca="1" si="2">AF2*160</f>
        <v>641396.80000000005</v>
      </c>
      <c r="AJ2" s="14">
        <f t="shared" ref="AJ2:AJ42" ca="1" si="3">AI2-AD2</f>
        <v>641396.80000000005</v>
      </c>
      <c r="AK2" s="14">
        <f t="shared" ref="AK2:AK42" ca="1" si="4">AI2*2.4/100</f>
        <v>15393.523200000001</v>
      </c>
      <c r="AL2" s="14">
        <f t="shared" ref="AL2:AL42" ca="1" si="5">AI2*0.5/100</f>
        <v>3206.9840000000004</v>
      </c>
      <c r="AM2" s="14">
        <f t="shared" ref="AM2:AM42" ca="1" si="6">AI2*3.5/100</f>
        <v>22448.888000000003</v>
      </c>
      <c r="AN2" s="14">
        <f t="shared" ref="AN2:AN42" ca="1" si="7">AI2*1.7/100</f>
        <v>10903.7456</v>
      </c>
      <c r="AO2" s="14">
        <f t="shared" ref="AO2:AO42" ca="1" si="8">5.4*AI2/100</f>
        <v>34635.427200000006</v>
      </c>
      <c r="AP2" s="14">
        <f t="shared" ref="AP2:AP42" ca="1" si="9">AI2*26/100</f>
        <v>166763.16800000001</v>
      </c>
      <c r="AQ2" s="14">
        <f t="shared" ref="AQ2:AQ42" ca="1" si="10">AI2*2.3/100</f>
        <v>14752.126399999999</v>
      </c>
      <c r="AR2" s="14">
        <f t="shared" ref="AR2:AR42" ca="1" si="11">AI2*2.5/100</f>
        <v>16034.92</v>
      </c>
      <c r="AS2" s="14">
        <f t="shared" ref="AS2:AS42" ca="1" si="12">AI2-AK2-AL2-AM2-AN2-AO2-AP2-AQ2-AR2</f>
        <v>357258.01759999985</v>
      </c>
      <c r="AU2" s="47">
        <f ca="1">SUM(AI:AI)</f>
        <v>5580609.5999999987</v>
      </c>
    </row>
    <row r="3" spans="1:47" x14ac:dyDescent="0.35">
      <c r="A3" s="2" t="s">
        <v>19</v>
      </c>
      <c r="B3" t="s">
        <v>80</v>
      </c>
      <c r="C3" t="s">
        <v>81</v>
      </c>
      <c r="D3" s="3">
        <v>33404</v>
      </c>
      <c r="E3" s="2">
        <f ca="1">DATEDIF(Tableau93[[#This Row],[Date de Naissance]],TODAY(),"y")</f>
        <v>33</v>
      </c>
      <c r="F3" s="2" t="str">
        <f ca="1">IF(AND(Tableau93[[#This Row],[AGE]]&gt;0,Tableau93[[#This Row],[AGE]]&lt;=30),"0-30",IF(AND(Tableau93[[#This Row],[AGE]]&gt;30,Tableau93[[#This Row],[AGE]]&lt;=40),"30-40","&gt;50 ans"))</f>
        <v>30-40</v>
      </c>
      <c r="G3" s="2" t="s">
        <v>15</v>
      </c>
      <c r="H3" s="2" t="s">
        <v>16</v>
      </c>
      <c r="I3" s="3" t="s">
        <v>20</v>
      </c>
      <c r="J3" s="3">
        <v>43466</v>
      </c>
      <c r="K3" s="2">
        <f ca="1">DATEDIF(Tableau93[[#This Row],[Date Embauche]],TODAY(),"y")</f>
        <v>6</v>
      </c>
      <c r="L3"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3" s="2">
        <v>8789</v>
      </c>
      <c r="N3" s="8" t="s">
        <v>178</v>
      </c>
      <c r="O3" s="2" t="s">
        <v>179</v>
      </c>
      <c r="P3" s="2">
        <v>0</v>
      </c>
      <c r="Q3" s="8" t="s">
        <v>180</v>
      </c>
      <c r="R3" s="2" t="s">
        <v>181</v>
      </c>
      <c r="S3" s="2" t="s">
        <v>182</v>
      </c>
      <c r="T3" s="2">
        <v>63696</v>
      </c>
      <c r="U3" s="2" t="s">
        <v>183</v>
      </c>
      <c r="V3" s="2" t="s">
        <v>184</v>
      </c>
      <c r="W3" s="2" t="s">
        <v>185</v>
      </c>
      <c r="X3" s="2" t="s">
        <v>186</v>
      </c>
      <c r="Y3" s="3">
        <f>Tableau93[[#This Row],[Date Embauche]]+8000</f>
        <v>51466</v>
      </c>
      <c r="Z3" s="2" t="s">
        <v>14</v>
      </c>
      <c r="AA3" s="3" t="s">
        <v>18</v>
      </c>
      <c r="AB3" s="14">
        <f>SUMIF(Sheet2!$A:$A,DataSet_BON!A3,Sheet2!$F:$F)</f>
        <v>0</v>
      </c>
      <c r="AC3" s="14">
        <f>SUMIF(Sheet5!$A:$A,DataSet_BON!A3,Sheet5!$F:$F)</f>
        <v>0</v>
      </c>
      <c r="AD3" s="14">
        <f>SUMIF(AVANCES!$A:$A,DataSet_BON!A3,AVANCES!$E:$E)</f>
        <v>0</v>
      </c>
      <c r="AE3" s="14">
        <f>SUMIF(INDEMNITES_PRIMES!$A:$A,DataSet_BON!A3,INDEMNITES_PRIMES!$J:$J)</f>
        <v>0</v>
      </c>
      <c r="AF3" s="8">
        <f ca="1">IFERROR(INDEX(Sheet1!$M$2:$U$68,MATCH(INDEX(Sheet1!$B$4:$H$15,MATCH(DataSet_BON!I3,Sheet1!$B$4:$B$15,0),MATCH(DataSet_BON!H3,Sheet1!$B$4:$H$4,0)),Sheet1!$M$2:$M$68,0),MATCH(DataSet_BON!K3,Sheet1!$M$2:$U$2,0)),VLOOKUP(INDEX(Sheet1!$B$4:$H$15,MATCH(DataSet_BON!I3,Sheet1!$B$4:$B$15,0),MATCH(DataSet_BON!H3,Sheet1!$B$4:$H$4,0)),Sheet1!$J$3:$L$68,3,FALSE))</f>
        <v>1306.8</v>
      </c>
      <c r="AG3" s="14">
        <f t="shared" ca="1" si="0"/>
        <v>0</v>
      </c>
      <c r="AH3" s="14">
        <f t="shared" ca="1" si="1"/>
        <v>0</v>
      </c>
      <c r="AI3" s="14">
        <f t="shared" ca="1" si="2"/>
        <v>209088</v>
      </c>
      <c r="AJ3" s="14">
        <f t="shared" ca="1" si="3"/>
        <v>209088</v>
      </c>
      <c r="AK3" s="14">
        <f t="shared" ca="1" si="4"/>
        <v>5018.1119999999992</v>
      </c>
      <c r="AL3" s="14">
        <f t="shared" ca="1" si="5"/>
        <v>1045.44</v>
      </c>
      <c r="AM3" s="14">
        <f t="shared" ca="1" si="6"/>
        <v>7318.08</v>
      </c>
      <c r="AN3" s="14">
        <f t="shared" ca="1" si="7"/>
        <v>3554.4959999999996</v>
      </c>
      <c r="AO3" s="14">
        <f t="shared" ca="1" si="8"/>
        <v>11290.752000000002</v>
      </c>
      <c r="AP3" s="14">
        <f t="shared" ca="1" si="9"/>
        <v>54362.879999999997</v>
      </c>
      <c r="AQ3" s="14">
        <f t="shared" ca="1" si="10"/>
        <v>4809.0239999999994</v>
      </c>
      <c r="AR3" s="14">
        <f t="shared" ca="1" si="11"/>
        <v>5227.2</v>
      </c>
      <c r="AS3" s="14">
        <f ca="1">AI3-AK3-AL3-AM3-AN3-AO3-AP3-AQ3-AR3</f>
        <v>116462.01599999999</v>
      </c>
    </row>
    <row r="4" spans="1:47" x14ac:dyDescent="0.35">
      <c r="A4" s="2" t="s">
        <v>21</v>
      </c>
      <c r="B4" t="s">
        <v>82</v>
      </c>
      <c r="C4" t="s">
        <v>83</v>
      </c>
      <c r="D4" s="3">
        <v>34914</v>
      </c>
      <c r="E4" s="2">
        <f ca="1">DATEDIF(Tableau93[[#This Row],[Date de Naissance]],TODAY(),"y")</f>
        <v>29</v>
      </c>
      <c r="F4" s="2" t="str">
        <f ca="1">IF(AND(Tableau93[[#This Row],[AGE]]&gt;0,Tableau93[[#This Row],[AGE]]&lt;=30),"0-30",IF(AND(Tableau93[[#This Row],[AGE]]&gt;30,Tableau93[[#This Row],[AGE]]&lt;=40),"30-40","&gt;50 ans"))</f>
        <v>0-30</v>
      </c>
      <c r="G4" s="2" t="s">
        <v>23</v>
      </c>
      <c r="H4" s="2" t="s">
        <v>24</v>
      </c>
      <c r="I4" s="3" t="s">
        <v>25</v>
      </c>
      <c r="J4" s="3">
        <v>43466</v>
      </c>
      <c r="K4" s="2">
        <f ca="1">DATEDIF(Tableau93[[#This Row],[Date Embauche]],TODAY(),"y")</f>
        <v>6</v>
      </c>
      <c r="L4"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4" s="2">
        <v>19170</v>
      </c>
      <c r="N4" s="8" t="s">
        <v>187</v>
      </c>
      <c r="O4" s="2" t="s">
        <v>179</v>
      </c>
      <c r="P4" s="2">
        <v>0</v>
      </c>
      <c r="Q4" s="8" t="s">
        <v>188</v>
      </c>
      <c r="R4" s="2" t="s">
        <v>189</v>
      </c>
      <c r="S4" s="2" t="s">
        <v>173</v>
      </c>
      <c r="T4" s="2">
        <v>32132</v>
      </c>
      <c r="U4" s="2" t="s">
        <v>174</v>
      </c>
      <c r="V4" s="2" t="s">
        <v>184</v>
      </c>
      <c r="W4" s="2" t="s">
        <v>190</v>
      </c>
      <c r="X4" s="2" t="s">
        <v>191</v>
      </c>
      <c r="Y4" s="3">
        <f>Tableau93[[#This Row],[Date Embauche]]+8000</f>
        <v>51466</v>
      </c>
      <c r="Z4" s="2" t="s">
        <v>22</v>
      </c>
      <c r="AA4" s="3" t="s">
        <v>18</v>
      </c>
      <c r="AB4" s="14">
        <f>SUMIF(Sheet2!$A:$A,DataSet_BON!A4,Sheet2!$F:$F)</f>
        <v>0</v>
      </c>
      <c r="AC4" s="14">
        <f>SUMIF(Sheet5!$A:$A,DataSet_BON!A4,Sheet5!$F:$F)</f>
        <v>0</v>
      </c>
      <c r="AD4" s="14">
        <f>SUMIF(AVANCES!$A:$A,DataSet_BON!A4,AVANCES!$E:$E)</f>
        <v>0</v>
      </c>
      <c r="AE4" s="14">
        <f>SUMIF(INDEMNITES_PRIMES!$A:$A,DataSet_BON!A4,INDEMNITES_PRIMES!$J:$J)</f>
        <v>0</v>
      </c>
      <c r="AF4" s="8">
        <f ca="1">IFERROR(INDEX(Sheet1!$M$2:$U$68,MATCH(INDEX(Sheet1!$B$4:$H$15,MATCH(DataSet_BON!I4,Sheet1!$B$4:$B$15,0),MATCH(DataSet_BON!H4,Sheet1!$B$4:$H$4,0)),Sheet1!$M$2:$M$68,0),MATCH(DataSet_BON!K4,Sheet1!$M$2:$U$2,0)),VLOOKUP(INDEX(Sheet1!$B$4:$H$15,MATCH(DataSet_BON!I4,Sheet1!$B$4:$B$15,0),MATCH(DataSet_BON!H4,Sheet1!$B$4:$H$4,0)),Sheet1!$J$3:$L$68,3,FALSE))</f>
        <v>647.35</v>
      </c>
      <c r="AG4" s="14">
        <f t="shared" ca="1" si="0"/>
        <v>0</v>
      </c>
      <c r="AH4" s="14">
        <f t="shared" ca="1" si="1"/>
        <v>0</v>
      </c>
      <c r="AI4" s="14">
        <f t="shared" ca="1" si="2"/>
        <v>103576</v>
      </c>
      <c r="AJ4" s="14">
        <f t="shared" ca="1" si="3"/>
        <v>103576</v>
      </c>
      <c r="AK4" s="14">
        <f t="shared" ca="1" si="4"/>
        <v>2485.8240000000001</v>
      </c>
      <c r="AL4" s="14">
        <f t="shared" ca="1" si="5"/>
        <v>517.88</v>
      </c>
      <c r="AM4" s="14">
        <f t="shared" ca="1" si="6"/>
        <v>3625.16</v>
      </c>
      <c r="AN4" s="14">
        <f t="shared" ca="1" si="7"/>
        <v>1760.7919999999999</v>
      </c>
      <c r="AO4" s="14">
        <f t="shared" ca="1" si="8"/>
        <v>5593.1040000000003</v>
      </c>
      <c r="AP4" s="14">
        <f t="shared" ca="1" si="9"/>
        <v>26929.759999999998</v>
      </c>
      <c r="AQ4" s="14">
        <f t="shared" ca="1" si="10"/>
        <v>2382.248</v>
      </c>
      <c r="AR4" s="14">
        <f t="shared" ca="1" si="11"/>
        <v>2589.4</v>
      </c>
      <c r="AS4" s="14">
        <f t="shared" ca="1" si="12"/>
        <v>57691.831999999995</v>
      </c>
    </row>
    <row r="5" spans="1:47" x14ac:dyDescent="0.35">
      <c r="A5" s="2" t="s">
        <v>26</v>
      </c>
      <c r="B5" t="s">
        <v>84</v>
      </c>
      <c r="C5" t="s">
        <v>85</v>
      </c>
      <c r="D5" s="3">
        <v>34842</v>
      </c>
      <c r="E5" s="2">
        <f ca="1">DATEDIF(Tableau93[[#This Row],[Date de Naissance]],TODAY(),"y")</f>
        <v>30</v>
      </c>
      <c r="F5" s="2" t="str">
        <f ca="1">IF(AND(Tableau93[[#This Row],[AGE]]&gt;0,Tableau93[[#This Row],[AGE]]&lt;=30),"0-30",IF(AND(Tableau93[[#This Row],[AGE]]&gt;30,Tableau93[[#This Row],[AGE]]&lt;=40),"30-40","&gt;50 ans"))</f>
        <v>0-30</v>
      </c>
      <c r="G5" s="2" t="s">
        <v>15</v>
      </c>
      <c r="H5" s="2" t="s">
        <v>24</v>
      </c>
      <c r="I5" s="3" t="s">
        <v>25</v>
      </c>
      <c r="J5" s="3">
        <v>43466</v>
      </c>
      <c r="K5" s="2">
        <f ca="1">DATEDIF(Tableau93[[#This Row],[Date Embauche]],TODAY(),"y")</f>
        <v>6</v>
      </c>
      <c r="L5"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5" s="2">
        <v>13975</v>
      </c>
      <c r="N5" s="8" t="s">
        <v>192</v>
      </c>
      <c r="O5" s="2" t="s">
        <v>179</v>
      </c>
      <c r="P5" s="2">
        <v>0</v>
      </c>
      <c r="Q5" s="8" t="s">
        <v>193</v>
      </c>
      <c r="R5" s="2" t="s">
        <v>194</v>
      </c>
      <c r="S5" s="2" t="s">
        <v>195</v>
      </c>
      <c r="T5" s="2">
        <v>80532</v>
      </c>
      <c r="U5" s="2" t="s">
        <v>174</v>
      </c>
      <c r="V5" s="2" t="s">
        <v>175</v>
      </c>
      <c r="W5" s="2" t="s">
        <v>185</v>
      </c>
      <c r="X5" s="2" t="s">
        <v>196</v>
      </c>
      <c r="Y5" s="3">
        <f>Tableau93[[#This Row],[Date Embauche]]+8000</f>
        <v>51466</v>
      </c>
      <c r="Z5" s="2" t="s">
        <v>22</v>
      </c>
      <c r="AA5" s="3" t="s">
        <v>18</v>
      </c>
      <c r="AB5" s="14">
        <f>SUMIF(Sheet2!$A:$A,DataSet_BON!A5,Sheet2!$F:$F)</f>
        <v>0</v>
      </c>
      <c r="AC5" s="14">
        <f>SUMIF(Sheet5!$A:$A,DataSet_BON!A5,Sheet5!$F:$F)</f>
        <v>0</v>
      </c>
      <c r="AD5" s="14">
        <f>SUMIF(AVANCES!$A:$A,DataSet_BON!A5,AVANCES!$E:$E)</f>
        <v>0</v>
      </c>
      <c r="AE5" s="14">
        <f>SUMIF(INDEMNITES_PRIMES!$A:$A,DataSet_BON!A5,INDEMNITES_PRIMES!$J:$J)</f>
        <v>0</v>
      </c>
      <c r="AF5" s="8">
        <f ca="1">IFERROR(INDEX(Sheet1!$M$2:$U$68,MATCH(INDEX(Sheet1!$B$4:$H$15,MATCH(DataSet_BON!I5,Sheet1!$B$4:$B$15,0),MATCH(DataSet_BON!H5,Sheet1!$B$4:$H$4,0)),Sheet1!$M$2:$M$68,0),MATCH(DataSet_BON!K5,Sheet1!$M$2:$U$2,0)),VLOOKUP(INDEX(Sheet1!$B$4:$H$15,MATCH(DataSet_BON!I5,Sheet1!$B$4:$B$15,0),MATCH(DataSet_BON!H5,Sheet1!$B$4:$H$4,0)),Sheet1!$J$3:$L$68,3,FALSE))</f>
        <v>647.35</v>
      </c>
      <c r="AG5" s="14">
        <f t="shared" ca="1" si="0"/>
        <v>0</v>
      </c>
      <c r="AH5" s="14">
        <f t="shared" ca="1" si="1"/>
        <v>0</v>
      </c>
      <c r="AI5" s="14">
        <f t="shared" ca="1" si="2"/>
        <v>103576</v>
      </c>
      <c r="AJ5" s="14">
        <f t="shared" ca="1" si="3"/>
        <v>103576</v>
      </c>
      <c r="AK5" s="14">
        <f t="shared" ca="1" si="4"/>
        <v>2485.8240000000001</v>
      </c>
      <c r="AL5" s="14">
        <f t="shared" ca="1" si="5"/>
        <v>517.88</v>
      </c>
      <c r="AM5" s="14">
        <f t="shared" ca="1" si="6"/>
        <v>3625.16</v>
      </c>
      <c r="AN5" s="14">
        <f t="shared" ca="1" si="7"/>
        <v>1760.7919999999999</v>
      </c>
      <c r="AO5" s="14">
        <f t="shared" ca="1" si="8"/>
        <v>5593.1040000000003</v>
      </c>
      <c r="AP5" s="14">
        <f t="shared" ca="1" si="9"/>
        <v>26929.759999999998</v>
      </c>
      <c r="AQ5" s="14">
        <f t="shared" ca="1" si="10"/>
        <v>2382.248</v>
      </c>
      <c r="AR5" s="14">
        <f t="shared" ca="1" si="11"/>
        <v>2589.4</v>
      </c>
      <c r="AS5" s="14">
        <f t="shared" ca="1" si="12"/>
        <v>57691.831999999995</v>
      </c>
    </row>
    <row r="6" spans="1:47" x14ac:dyDescent="0.35">
      <c r="A6" s="2" t="s">
        <v>27</v>
      </c>
      <c r="B6" t="s">
        <v>86</v>
      </c>
      <c r="C6" t="s">
        <v>87</v>
      </c>
      <c r="D6" s="3">
        <v>32342</v>
      </c>
      <c r="E6" s="2">
        <f ca="1">DATEDIF(Tableau93[[#This Row],[Date de Naissance]],TODAY(),"y")</f>
        <v>36</v>
      </c>
      <c r="F6" s="2" t="str">
        <f ca="1">IF(AND(Tableau93[[#This Row],[AGE]]&gt;0,Tableau93[[#This Row],[AGE]]&lt;=30),"0-30",IF(AND(Tableau93[[#This Row],[AGE]]&gt;30,Tableau93[[#This Row],[AGE]]&lt;=40),"30-40","&gt;50 ans"))</f>
        <v>30-40</v>
      </c>
      <c r="G6" s="2" t="s">
        <v>15</v>
      </c>
      <c r="H6" s="2" t="s">
        <v>24</v>
      </c>
      <c r="I6" s="3" t="s">
        <v>25</v>
      </c>
      <c r="J6" s="3">
        <v>43466</v>
      </c>
      <c r="K6" s="2">
        <f ca="1">DATEDIF(Tableau93[[#This Row],[Date Embauche]],TODAY(),"y")</f>
        <v>6</v>
      </c>
      <c r="L6"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6" s="2">
        <v>5191</v>
      </c>
      <c r="N6" s="8" t="s">
        <v>197</v>
      </c>
      <c r="O6" s="2" t="s">
        <v>179</v>
      </c>
      <c r="P6" s="2">
        <v>0</v>
      </c>
      <c r="Q6" s="8" t="s">
        <v>198</v>
      </c>
      <c r="R6" s="2" t="s">
        <v>199</v>
      </c>
      <c r="S6" s="2" t="s">
        <v>200</v>
      </c>
      <c r="T6" s="2">
        <v>64842</v>
      </c>
      <c r="U6" s="2" t="s">
        <v>174</v>
      </c>
      <c r="V6" s="2" t="s">
        <v>175</v>
      </c>
      <c r="W6" s="2" t="s">
        <v>176</v>
      </c>
      <c r="X6" s="2" t="s">
        <v>201</v>
      </c>
      <c r="Y6" s="3">
        <f>Tableau93[[#This Row],[Date Embauche]]+8000</f>
        <v>51466</v>
      </c>
      <c r="Z6" s="2" t="s">
        <v>22</v>
      </c>
      <c r="AA6" s="3" t="s">
        <v>18</v>
      </c>
      <c r="AB6" s="14">
        <f>SUMIF(Sheet2!$A:$A,DataSet_BON!A6,Sheet2!$F:$F)</f>
        <v>45</v>
      </c>
      <c r="AC6" s="14">
        <f>SUMIF(Sheet5!$A:$A,DataSet_BON!A6,Sheet5!$F:$F)</f>
        <v>15</v>
      </c>
      <c r="AD6" s="14">
        <f>SUMIF(AVANCES!$A:$A,DataSet_BON!A6,AVANCES!$E:$E)</f>
        <v>0</v>
      </c>
      <c r="AE6" s="14">
        <f>SUMIF(INDEMNITES_PRIMES!$A:$A,DataSet_BON!A6,INDEMNITES_PRIMES!$J:$J)</f>
        <v>130000</v>
      </c>
      <c r="AF6" s="8">
        <f ca="1">IFERROR(INDEX(Sheet1!$M$2:$U$68,MATCH(INDEX(Sheet1!$B$4:$H$15,MATCH(DataSet_BON!I6,Sheet1!$B$4:$B$15,0),MATCH(DataSet_BON!H6,Sheet1!$B$4:$H$4,0)),Sheet1!$M$2:$M$68,0),MATCH(DataSet_BON!K6,Sheet1!$M$2:$U$2,0)),VLOOKUP(INDEX(Sheet1!$B$4:$H$15,MATCH(DataSet_BON!I6,Sheet1!$B$4:$B$15,0),MATCH(DataSet_BON!H6,Sheet1!$B$4:$H$4,0)),Sheet1!$J$3:$L$68,3,FALSE))</f>
        <v>647.35</v>
      </c>
      <c r="AG6" s="14">
        <f t="shared" ca="1" si="0"/>
        <v>29130.75</v>
      </c>
      <c r="AH6" s="14">
        <f t="shared" ca="1" si="1"/>
        <v>29130.75</v>
      </c>
      <c r="AI6" s="14">
        <f ca="1">AF6*160</f>
        <v>103576</v>
      </c>
      <c r="AJ6" s="14">
        <f t="shared" ca="1" si="3"/>
        <v>103576</v>
      </c>
      <c r="AK6" s="14">
        <f t="shared" ca="1" si="4"/>
        <v>2485.8240000000001</v>
      </c>
      <c r="AL6" s="14">
        <f t="shared" ca="1" si="5"/>
        <v>517.88</v>
      </c>
      <c r="AM6" s="14">
        <f t="shared" ca="1" si="6"/>
        <v>3625.16</v>
      </c>
      <c r="AN6" s="14">
        <f t="shared" ca="1" si="7"/>
        <v>1760.7919999999999</v>
      </c>
      <c r="AO6" s="14">
        <f t="shared" ca="1" si="8"/>
        <v>5593.1040000000003</v>
      </c>
      <c r="AP6" s="14">
        <f t="shared" ca="1" si="9"/>
        <v>26929.759999999998</v>
      </c>
      <c r="AQ6" s="14">
        <f t="shared" ca="1" si="10"/>
        <v>2382.248</v>
      </c>
      <c r="AR6" s="14">
        <f t="shared" ca="1" si="11"/>
        <v>2589.4</v>
      </c>
      <c r="AS6" s="14">
        <f t="shared" ca="1" si="12"/>
        <v>57691.831999999995</v>
      </c>
    </row>
    <row r="7" spans="1:47" x14ac:dyDescent="0.35">
      <c r="A7" s="2" t="s">
        <v>28</v>
      </c>
      <c r="B7" t="s">
        <v>88</v>
      </c>
      <c r="C7" t="s">
        <v>89</v>
      </c>
      <c r="D7" s="3">
        <v>34196</v>
      </c>
      <c r="E7" s="2">
        <f ca="1">DATEDIF(Tableau93[[#This Row],[Date de Naissance]],TODAY(),"y")</f>
        <v>31</v>
      </c>
      <c r="F7" s="2" t="str">
        <f ca="1">IF(AND(Tableau93[[#This Row],[AGE]]&gt;0,Tableau93[[#This Row],[AGE]]&lt;=30),"0-30",IF(AND(Tableau93[[#This Row],[AGE]]&gt;30,Tableau93[[#This Row],[AGE]]&lt;=40),"30-40","&gt;50 ans"))</f>
        <v>30-40</v>
      </c>
      <c r="G7" s="2" t="s">
        <v>15</v>
      </c>
      <c r="H7" s="2" t="s">
        <v>24</v>
      </c>
      <c r="I7" s="3" t="s">
        <v>25</v>
      </c>
      <c r="J7" s="3">
        <v>43466</v>
      </c>
      <c r="K7" s="2">
        <f ca="1">DATEDIF(Tableau93[[#This Row],[Date Embauche]],TODAY(),"y")</f>
        <v>6</v>
      </c>
      <c r="L7"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7" s="2">
        <v>7135</v>
      </c>
      <c r="N7" s="8" t="s">
        <v>202</v>
      </c>
      <c r="O7" s="2" t="s">
        <v>203</v>
      </c>
      <c r="P7" s="2">
        <v>2</v>
      </c>
      <c r="Q7" s="8" t="s">
        <v>204</v>
      </c>
      <c r="R7" s="2" t="s">
        <v>205</v>
      </c>
      <c r="S7" s="2" t="s">
        <v>182</v>
      </c>
      <c r="T7" s="2">
        <v>41243</v>
      </c>
      <c r="U7" s="2" t="s">
        <v>174</v>
      </c>
      <c r="V7" s="2" t="s">
        <v>175</v>
      </c>
      <c r="W7" s="2" t="s">
        <v>190</v>
      </c>
      <c r="X7" s="2" t="s">
        <v>206</v>
      </c>
      <c r="Y7" s="3">
        <f>Tableau93[[#This Row],[Date Embauche]]+8000</f>
        <v>51466</v>
      </c>
      <c r="Z7" s="2" t="s">
        <v>22</v>
      </c>
      <c r="AA7" s="3" t="s">
        <v>18</v>
      </c>
      <c r="AB7" s="14">
        <f>SUMIF(Sheet2!$A:$A,DataSet_BON!A7,Sheet2!$F:$F)</f>
        <v>0</v>
      </c>
      <c r="AC7" s="14">
        <f>SUMIF(Sheet5!$A:$A,DataSet_BON!A7,Sheet5!$F:$F)</f>
        <v>12</v>
      </c>
      <c r="AD7" s="14">
        <f>SUMIF(AVANCES!$A:$A,DataSet_BON!A7,AVANCES!$E:$E)</f>
        <v>0</v>
      </c>
      <c r="AE7" s="14">
        <f>SUMIF(INDEMNITES_PRIMES!$A:$A,DataSet_BON!A7,INDEMNITES_PRIMES!$J:$J)</f>
        <v>0</v>
      </c>
      <c r="AF7" s="8">
        <f ca="1">IFERROR(INDEX(Sheet1!$M$2:$U$68,MATCH(INDEX(Sheet1!$B$4:$H$15,MATCH(DataSet_BON!I7,Sheet1!$B$4:$B$15,0),MATCH(DataSet_BON!H7,Sheet1!$B$4:$H$4,0)),Sheet1!$M$2:$M$68,0),MATCH(DataSet_BON!K7,Sheet1!$M$2:$U$2,0)),VLOOKUP(INDEX(Sheet1!$B$4:$H$15,MATCH(DataSet_BON!I7,Sheet1!$B$4:$B$15,0),MATCH(DataSet_BON!H7,Sheet1!$B$4:$H$4,0)),Sheet1!$J$3:$L$68,3,FALSE))</f>
        <v>647.35</v>
      </c>
      <c r="AG7" s="14">
        <f t="shared" ca="1" si="0"/>
        <v>0</v>
      </c>
      <c r="AH7" s="14">
        <f t="shared" ca="1" si="1"/>
        <v>0</v>
      </c>
      <c r="AI7" s="14">
        <f t="shared" ca="1" si="2"/>
        <v>103576</v>
      </c>
      <c r="AJ7" s="14">
        <f t="shared" ca="1" si="3"/>
        <v>103576</v>
      </c>
      <c r="AK7" s="14">
        <f t="shared" ca="1" si="4"/>
        <v>2485.8240000000001</v>
      </c>
      <c r="AL7" s="14">
        <f t="shared" ca="1" si="5"/>
        <v>517.88</v>
      </c>
      <c r="AM7" s="14">
        <f t="shared" ca="1" si="6"/>
        <v>3625.16</v>
      </c>
      <c r="AN7" s="14">
        <f t="shared" ca="1" si="7"/>
        <v>1760.7919999999999</v>
      </c>
      <c r="AO7" s="14">
        <f t="shared" ca="1" si="8"/>
        <v>5593.1040000000003</v>
      </c>
      <c r="AP7" s="14">
        <f t="shared" ca="1" si="9"/>
        <v>26929.759999999998</v>
      </c>
      <c r="AQ7" s="14">
        <f t="shared" ca="1" si="10"/>
        <v>2382.248</v>
      </c>
      <c r="AR7" s="14">
        <f t="shared" ca="1" si="11"/>
        <v>2589.4</v>
      </c>
      <c r="AS7" s="14">
        <f t="shared" ca="1" si="12"/>
        <v>57691.831999999995</v>
      </c>
    </row>
    <row r="8" spans="1:47" x14ac:dyDescent="0.35">
      <c r="A8" s="2" t="s">
        <v>29</v>
      </c>
      <c r="B8" t="s">
        <v>90</v>
      </c>
      <c r="C8" t="s">
        <v>91</v>
      </c>
      <c r="D8" s="3">
        <v>35300</v>
      </c>
      <c r="E8" s="2">
        <f ca="1">DATEDIF(Tableau93[[#This Row],[Date de Naissance]],TODAY(),"y")</f>
        <v>28</v>
      </c>
      <c r="F8" s="2" t="str">
        <f ca="1">IF(AND(Tableau93[[#This Row],[AGE]]&gt;0,Tableau93[[#This Row],[AGE]]&lt;=30),"0-30",IF(AND(Tableau93[[#This Row],[AGE]]&gt;30,Tableau93[[#This Row],[AGE]]&lt;=40),"30-40","&gt;50 ans"))</f>
        <v>0-30</v>
      </c>
      <c r="G8" s="2" t="s">
        <v>23</v>
      </c>
      <c r="H8" s="2" t="s">
        <v>24</v>
      </c>
      <c r="I8" s="3" t="s">
        <v>25</v>
      </c>
      <c r="J8" s="3">
        <v>43466</v>
      </c>
      <c r="K8" s="2">
        <f ca="1">DATEDIF(Tableau93[[#This Row],[Date Embauche]],TODAY(),"y")</f>
        <v>6</v>
      </c>
      <c r="L8"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8" s="2">
        <v>15141</v>
      </c>
      <c r="N8" s="8" t="s">
        <v>207</v>
      </c>
      <c r="O8" s="2" t="s">
        <v>179</v>
      </c>
      <c r="P8" s="2">
        <v>0</v>
      </c>
      <c r="Q8" s="8" t="s">
        <v>208</v>
      </c>
      <c r="R8" s="2" t="s">
        <v>209</v>
      </c>
      <c r="S8" s="2" t="s">
        <v>210</v>
      </c>
      <c r="T8" s="2">
        <v>23330</v>
      </c>
      <c r="U8" s="2" t="s">
        <v>174</v>
      </c>
      <c r="V8" s="2" t="s">
        <v>175</v>
      </c>
      <c r="W8" s="2" t="s">
        <v>176</v>
      </c>
      <c r="X8" s="2" t="s">
        <v>211</v>
      </c>
      <c r="Y8" s="3">
        <f>Tableau93[[#This Row],[Date Embauche]]+8000</f>
        <v>51466</v>
      </c>
      <c r="Z8" s="2" t="s">
        <v>22</v>
      </c>
      <c r="AA8" s="3" t="s">
        <v>18</v>
      </c>
      <c r="AB8" s="14">
        <f>SUMIF(Sheet2!$A:$A,DataSet_BON!A8,Sheet2!$F:$F)</f>
        <v>39</v>
      </c>
      <c r="AC8" s="14">
        <f>SUMIF(Sheet5!$A:$A,DataSet_BON!A8,Sheet5!$F:$F)</f>
        <v>0</v>
      </c>
      <c r="AD8" s="14">
        <f>SUMIF(AVANCES!$A:$A,DataSet_BON!A8,AVANCES!$E:$E)</f>
        <v>0</v>
      </c>
      <c r="AE8" s="14">
        <f>SUMIF(INDEMNITES_PRIMES!$A:$A,DataSet_BON!A8,INDEMNITES_PRIMES!$J:$J)</f>
        <v>0</v>
      </c>
      <c r="AF8" s="8">
        <f ca="1">IFERROR(INDEX(Sheet1!$M$2:$U$68,MATCH(INDEX(Sheet1!$B$4:$H$15,MATCH(DataSet_BON!I8,Sheet1!$B$4:$B$15,0),MATCH(DataSet_BON!H8,Sheet1!$B$4:$H$4,0)),Sheet1!$M$2:$M$68,0),MATCH(DataSet_BON!K8,Sheet1!$M$2:$U$2,0)),VLOOKUP(INDEX(Sheet1!$B$4:$H$15,MATCH(DataSet_BON!I8,Sheet1!$B$4:$B$15,0),MATCH(DataSet_BON!H8,Sheet1!$B$4:$H$4,0)),Sheet1!$J$3:$L$68,3,FALSE))</f>
        <v>647.35</v>
      </c>
      <c r="AG8" s="14">
        <f t="shared" ca="1" si="0"/>
        <v>25246.65</v>
      </c>
      <c r="AH8" s="14">
        <f t="shared" ca="1" si="1"/>
        <v>25246.65</v>
      </c>
      <c r="AI8" s="14">
        <f t="shared" ca="1" si="2"/>
        <v>103576</v>
      </c>
      <c r="AJ8" s="14">
        <f t="shared" ca="1" si="3"/>
        <v>103576</v>
      </c>
      <c r="AK8" s="14">
        <f t="shared" ca="1" si="4"/>
        <v>2485.8240000000001</v>
      </c>
      <c r="AL8" s="14">
        <f t="shared" ca="1" si="5"/>
        <v>517.88</v>
      </c>
      <c r="AM8" s="14">
        <f t="shared" ca="1" si="6"/>
        <v>3625.16</v>
      </c>
      <c r="AN8" s="14">
        <f t="shared" ca="1" si="7"/>
        <v>1760.7919999999999</v>
      </c>
      <c r="AO8" s="14">
        <f t="shared" ca="1" si="8"/>
        <v>5593.1040000000003</v>
      </c>
      <c r="AP8" s="14">
        <f t="shared" ca="1" si="9"/>
        <v>26929.759999999998</v>
      </c>
      <c r="AQ8" s="14">
        <f t="shared" ca="1" si="10"/>
        <v>2382.248</v>
      </c>
      <c r="AR8" s="14">
        <f t="shared" ca="1" si="11"/>
        <v>2589.4</v>
      </c>
      <c r="AS8" s="14">
        <f t="shared" ca="1" si="12"/>
        <v>57691.831999999995</v>
      </c>
    </row>
    <row r="9" spans="1:47" x14ac:dyDescent="0.35">
      <c r="A9" s="2" t="s">
        <v>30</v>
      </c>
      <c r="B9" t="s">
        <v>92</v>
      </c>
      <c r="C9" t="s">
        <v>93</v>
      </c>
      <c r="D9" s="3">
        <v>36206</v>
      </c>
      <c r="E9" s="2">
        <f ca="1">DATEDIF(Tableau93[[#This Row],[Date de Naissance]],TODAY(),"y")</f>
        <v>26</v>
      </c>
      <c r="F9" s="2" t="str">
        <f ca="1">IF(AND(Tableau93[[#This Row],[AGE]]&gt;0,Tableau93[[#This Row],[AGE]]&lt;=30),"0-30",IF(AND(Tableau93[[#This Row],[AGE]]&gt;30,Tableau93[[#This Row],[AGE]]&lt;=40),"30-40","&gt;50 ans"))</f>
        <v>0-30</v>
      </c>
      <c r="G9" s="2" t="s">
        <v>23</v>
      </c>
      <c r="H9" s="2" t="s">
        <v>24</v>
      </c>
      <c r="I9" s="3" t="s">
        <v>25</v>
      </c>
      <c r="J9" s="3">
        <v>43466</v>
      </c>
      <c r="K9" s="2">
        <f ca="1">DATEDIF(Tableau93[[#This Row],[Date Embauche]],TODAY(),"y")</f>
        <v>6</v>
      </c>
      <c r="L9"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9" s="2">
        <v>1393</v>
      </c>
      <c r="N9" s="8" t="s">
        <v>212</v>
      </c>
      <c r="O9" s="2" t="s">
        <v>170</v>
      </c>
      <c r="P9" s="2">
        <v>4</v>
      </c>
      <c r="Q9" s="8" t="s">
        <v>213</v>
      </c>
      <c r="R9" s="2" t="s">
        <v>214</v>
      </c>
      <c r="S9" s="2" t="s">
        <v>195</v>
      </c>
      <c r="T9" s="2">
        <v>73325</v>
      </c>
      <c r="U9" s="2" t="s">
        <v>174</v>
      </c>
      <c r="V9" s="2" t="s">
        <v>175</v>
      </c>
      <c r="W9" s="2" t="s">
        <v>190</v>
      </c>
      <c r="X9" s="2" t="s">
        <v>215</v>
      </c>
      <c r="Y9" s="3">
        <f>Tableau93[[#This Row],[Date Embauche]]+8000</f>
        <v>51466</v>
      </c>
      <c r="Z9" s="2" t="s">
        <v>22</v>
      </c>
      <c r="AA9" s="3" t="s">
        <v>18</v>
      </c>
      <c r="AB9" s="14">
        <f>SUMIF(Sheet2!$A:$A,DataSet_BON!A9,Sheet2!$F:$F)</f>
        <v>0</v>
      </c>
      <c r="AC9" s="14">
        <f>SUMIF(Sheet5!$A:$A,DataSet_BON!A9,Sheet5!$F:$F)</f>
        <v>0</v>
      </c>
      <c r="AD9" s="14">
        <f>SUMIF(AVANCES!$A:$A,DataSet_BON!A9,AVANCES!$E:$E)</f>
        <v>0</v>
      </c>
      <c r="AE9" s="14">
        <f>SUMIF(INDEMNITES_PRIMES!$A:$A,DataSet_BON!A9,INDEMNITES_PRIMES!$J:$J)</f>
        <v>30000</v>
      </c>
      <c r="AF9" s="8">
        <f ca="1">IFERROR(INDEX(Sheet1!$M$2:$U$68,MATCH(INDEX(Sheet1!$B$4:$H$15,MATCH(DataSet_BON!I9,Sheet1!$B$4:$B$15,0),MATCH(DataSet_BON!H9,Sheet1!$B$4:$H$4,0)),Sheet1!$M$2:$M$68,0),MATCH(DataSet_BON!K9,Sheet1!$M$2:$U$2,0)),VLOOKUP(INDEX(Sheet1!$B$4:$H$15,MATCH(DataSet_BON!I9,Sheet1!$B$4:$B$15,0),MATCH(DataSet_BON!H9,Sheet1!$B$4:$H$4,0)),Sheet1!$J$3:$L$68,3,FALSE))</f>
        <v>647.35</v>
      </c>
      <c r="AG9" s="14">
        <f t="shared" ca="1" si="0"/>
        <v>0</v>
      </c>
      <c r="AH9" s="14">
        <f t="shared" ca="1" si="1"/>
        <v>0</v>
      </c>
      <c r="AI9" s="14">
        <f t="shared" ca="1" si="2"/>
        <v>103576</v>
      </c>
      <c r="AJ9" s="14">
        <f t="shared" ca="1" si="3"/>
        <v>103576</v>
      </c>
      <c r="AK9" s="14">
        <f t="shared" ca="1" si="4"/>
        <v>2485.8240000000001</v>
      </c>
      <c r="AL9" s="14">
        <f t="shared" ca="1" si="5"/>
        <v>517.88</v>
      </c>
      <c r="AM9" s="14">
        <f t="shared" ca="1" si="6"/>
        <v>3625.16</v>
      </c>
      <c r="AN9" s="14">
        <f t="shared" ca="1" si="7"/>
        <v>1760.7919999999999</v>
      </c>
      <c r="AO9" s="14">
        <f t="shared" ca="1" si="8"/>
        <v>5593.1040000000003</v>
      </c>
      <c r="AP9" s="14">
        <f t="shared" ca="1" si="9"/>
        <v>26929.759999999998</v>
      </c>
      <c r="AQ9" s="14">
        <f t="shared" ca="1" si="10"/>
        <v>2382.248</v>
      </c>
      <c r="AR9" s="14">
        <f t="shared" ca="1" si="11"/>
        <v>2589.4</v>
      </c>
      <c r="AS9" s="14">
        <f t="shared" ca="1" si="12"/>
        <v>57691.831999999995</v>
      </c>
    </row>
    <row r="10" spans="1:47" x14ac:dyDescent="0.35">
      <c r="A10" s="2" t="s">
        <v>31</v>
      </c>
      <c r="B10" t="s">
        <v>94</v>
      </c>
      <c r="C10" t="s">
        <v>95</v>
      </c>
      <c r="D10" s="3">
        <v>32743</v>
      </c>
      <c r="E10" s="2">
        <f ca="1">DATEDIF(Tableau93[[#This Row],[Date de Naissance]],TODAY(),"y")</f>
        <v>35</v>
      </c>
      <c r="F10" s="2" t="str">
        <f ca="1">IF(AND(Tableau93[[#This Row],[AGE]]&gt;0,Tableau93[[#This Row],[AGE]]&lt;=30),"0-30",IF(AND(Tableau93[[#This Row],[AGE]]&gt;30,Tableau93[[#This Row],[AGE]]&lt;=40),"30-40","&gt;50 ans"))</f>
        <v>30-40</v>
      </c>
      <c r="G10" s="2" t="s">
        <v>23</v>
      </c>
      <c r="H10" s="2" t="s">
        <v>32</v>
      </c>
      <c r="I10" s="3" t="s">
        <v>33</v>
      </c>
      <c r="J10" s="3">
        <v>43466</v>
      </c>
      <c r="K10" s="2">
        <f ca="1">DATEDIF(Tableau93[[#This Row],[Date Embauche]],TODAY(),"y")</f>
        <v>6</v>
      </c>
      <c r="L10"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10" s="2">
        <v>7056</v>
      </c>
      <c r="N10" s="8" t="s">
        <v>216</v>
      </c>
      <c r="O10" s="2" t="s">
        <v>203</v>
      </c>
      <c r="P10" s="2">
        <v>3</v>
      </c>
      <c r="Q10" s="8" t="s">
        <v>217</v>
      </c>
      <c r="R10" s="2" t="s">
        <v>218</v>
      </c>
      <c r="S10" s="2" t="s">
        <v>219</v>
      </c>
      <c r="T10" s="2">
        <v>11656</v>
      </c>
      <c r="U10" s="2" t="s">
        <v>174</v>
      </c>
      <c r="V10" s="2" t="s">
        <v>175</v>
      </c>
      <c r="W10" s="2" t="s">
        <v>190</v>
      </c>
      <c r="X10" s="2" t="s">
        <v>220</v>
      </c>
      <c r="Y10" s="3">
        <f>Tableau93[[#This Row],[Date Embauche]]+8000</f>
        <v>51466</v>
      </c>
      <c r="Z10" s="2" t="s">
        <v>14</v>
      </c>
      <c r="AA10" s="3" t="s">
        <v>18</v>
      </c>
      <c r="AB10" s="14">
        <f>SUMIF(Sheet2!$A:$A,DataSet_BON!A10,Sheet2!$F:$F)</f>
        <v>0</v>
      </c>
      <c r="AC10" s="14">
        <f>SUMIF(Sheet5!$A:$A,DataSet_BON!A10,Sheet5!$F:$F)</f>
        <v>0</v>
      </c>
      <c r="AD10" s="14">
        <f>SUMIF(AVANCES!$A:$A,DataSet_BON!A10,AVANCES!$E:$E)</f>
        <v>0</v>
      </c>
      <c r="AE10" s="14">
        <f>SUMIF(INDEMNITES_PRIMES!$A:$A,DataSet_BON!A10,INDEMNITES_PRIMES!$J:$J)</f>
        <v>0</v>
      </c>
      <c r="AF10" s="8">
        <f ca="1">IFERROR(INDEX(Sheet1!$M$2:$U$68,MATCH(INDEX(Sheet1!$B$4:$H$15,MATCH(DataSet_BON!I10,Sheet1!$B$4:$B$15,0),MATCH(DataSet_BON!H10,Sheet1!$B$4:$H$4,0)),Sheet1!$M$2:$M$68,0),MATCH(DataSet_BON!K10,Sheet1!$M$2:$U$2,0)),VLOOKUP(INDEX(Sheet1!$B$4:$H$15,MATCH(DataSet_BON!I10,Sheet1!$B$4:$B$15,0),MATCH(DataSet_BON!H10,Sheet1!$B$4:$H$4,0)),Sheet1!$J$3:$L$68,3,FALSE))</f>
        <v>983.7299999999999</v>
      </c>
      <c r="AG10" s="14">
        <f t="shared" ca="1" si="0"/>
        <v>0</v>
      </c>
      <c r="AH10" s="14">
        <f t="shared" ca="1" si="1"/>
        <v>0</v>
      </c>
      <c r="AI10" s="14">
        <f t="shared" ca="1" si="2"/>
        <v>157396.79999999999</v>
      </c>
      <c r="AJ10" s="14">
        <f t="shared" ca="1" si="3"/>
        <v>157396.79999999999</v>
      </c>
      <c r="AK10" s="14">
        <f t="shared" ca="1" si="4"/>
        <v>3777.5231999999996</v>
      </c>
      <c r="AL10" s="14">
        <f t="shared" ca="1" si="5"/>
        <v>786.98399999999992</v>
      </c>
      <c r="AM10" s="14">
        <f t="shared" ca="1" si="6"/>
        <v>5508.887999999999</v>
      </c>
      <c r="AN10" s="14">
        <f t="shared" ca="1" si="7"/>
        <v>2675.7456000000002</v>
      </c>
      <c r="AO10" s="14">
        <f t="shared" ca="1" si="8"/>
        <v>8499.4272000000001</v>
      </c>
      <c r="AP10" s="14">
        <f t="shared" ca="1" si="9"/>
        <v>40923.167999999998</v>
      </c>
      <c r="AQ10" s="14">
        <f t="shared" ca="1" si="10"/>
        <v>3620.1263999999996</v>
      </c>
      <c r="AR10" s="14">
        <f t="shared" ca="1" si="11"/>
        <v>3934.92</v>
      </c>
      <c r="AS10" s="14">
        <f t="shared" ca="1" si="12"/>
        <v>87670.017599999992</v>
      </c>
    </row>
    <row r="11" spans="1:47" x14ac:dyDescent="0.35">
      <c r="A11" s="2" t="s">
        <v>34</v>
      </c>
      <c r="B11" t="s">
        <v>96</v>
      </c>
      <c r="C11" t="s">
        <v>97</v>
      </c>
      <c r="D11" s="3">
        <v>34196</v>
      </c>
      <c r="E11" s="2">
        <f ca="1">DATEDIF(Tableau93[[#This Row],[Date de Naissance]],TODAY(),"y")</f>
        <v>31</v>
      </c>
      <c r="F11" s="2" t="str">
        <f ca="1">IF(AND(Tableau93[[#This Row],[AGE]]&gt;0,Tableau93[[#This Row],[AGE]]&lt;=30),"0-30",IF(AND(Tableau93[[#This Row],[AGE]]&gt;30,Tableau93[[#This Row],[AGE]]&lt;=40),"30-40","&gt;50 ans"))</f>
        <v>30-40</v>
      </c>
      <c r="G11" s="2" t="s">
        <v>23</v>
      </c>
      <c r="H11" s="2" t="s">
        <v>35</v>
      </c>
      <c r="I11" s="3" t="s">
        <v>36</v>
      </c>
      <c r="J11" s="3">
        <v>43466</v>
      </c>
      <c r="K11" s="2">
        <f ca="1">DATEDIF(Tableau93[[#This Row],[Date Embauche]],TODAY(),"y")</f>
        <v>6</v>
      </c>
      <c r="L11"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11" s="2">
        <v>864</v>
      </c>
      <c r="N11" s="8" t="s">
        <v>221</v>
      </c>
      <c r="O11" s="2" t="s">
        <v>179</v>
      </c>
      <c r="P11" s="2">
        <v>0</v>
      </c>
      <c r="Q11" s="8" t="s">
        <v>222</v>
      </c>
      <c r="R11" s="2" t="s">
        <v>223</v>
      </c>
      <c r="S11" s="2" t="s">
        <v>224</v>
      </c>
      <c r="T11" s="2">
        <v>11438</v>
      </c>
      <c r="U11" s="2" t="s">
        <v>174</v>
      </c>
      <c r="V11" s="2" t="s">
        <v>175</v>
      </c>
      <c r="W11" s="2" t="s">
        <v>176</v>
      </c>
      <c r="X11" s="2" t="s">
        <v>225</v>
      </c>
      <c r="Y11" s="3">
        <f>Tableau93[[#This Row],[Date Embauche]]+8000</f>
        <v>51466</v>
      </c>
      <c r="Z11" s="2" t="s">
        <v>14</v>
      </c>
      <c r="AA11" s="3" t="s">
        <v>18</v>
      </c>
      <c r="AB11" s="14">
        <f>SUMIF(Sheet2!$A:$A,DataSet_BON!A11,Sheet2!$F:$F)</f>
        <v>0</v>
      </c>
      <c r="AC11" s="14">
        <f>SUMIF(Sheet5!$A:$A,DataSet_BON!A11,Sheet5!$F:$F)</f>
        <v>0</v>
      </c>
      <c r="AD11" s="14">
        <f>SUMIF(AVANCES!$A:$A,DataSet_BON!A11,AVANCES!$E:$E)</f>
        <v>0</v>
      </c>
      <c r="AE11" s="14">
        <f>SUMIF(INDEMNITES_PRIMES!$A:$A,DataSet_BON!A11,INDEMNITES_PRIMES!$J:$J)</f>
        <v>0</v>
      </c>
      <c r="AF11" s="8">
        <f ca="1">IFERROR(INDEX(Sheet1!$M$2:$U$68,MATCH(INDEX(Sheet1!$B$4:$H$15,MATCH(DataSet_BON!I11,Sheet1!$B$4:$B$15,0),MATCH(DataSet_BON!H11,Sheet1!$B$4:$H$4,0)),Sheet1!$M$2:$M$68,0),MATCH(DataSet_BON!K11,Sheet1!$M$2:$U$2,0)),VLOOKUP(INDEX(Sheet1!$B$4:$H$15,MATCH(DataSet_BON!I11,Sheet1!$B$4:$B$15,0),MATCH(DataSet_BON!H11,Sheet1!$B$4:$H$4,0)),Sheet1!$J$3:$L$68,3,FALSE))</f>
        <v>647.35</v>
      </c>
      <c r="AG11" s="14">
        <f t="shared" ca="1" si="0"/>
        <v>0</v>
      </c>
      <c r="AH11" s="14">
        <f t="shared" ca="1" si="1"/>
        <v>0</v>
      </c>
      <c r="AI11" s="14">
        <f t="shared" ca="1" si="2"/>
        <v>103576</v>
      </c>
      <c r="AJ11" s="14">
        <f t="shared" ca="1" si="3"/>
        <v>103576</v>
      </c>
      <c r="AK11" s="14">
        <f t="shared" ca="1" si="4"/>
        <v>2485.8240000000001</v>
      </c>
      <c r="AL11" s="14">
        <f t="shared" ca="1" si="5"/>
        <v>517.88</v>
      </c>
      <c r="AM11" s="14">
        <f t="shared" ca="1" si="6"/>
        <v>3625.16</v>
      </c>
      <c r="AN11" s="14">
        <f t="shared" ca="1" si="7"/>
        <v>1760.7919999999999</v>
      </c>
      <c r="AO11" s="14">
        <f t="shared" ca="1" si="8"/>
        <v>5593.1040000000003</v>
      </c>
      <c r="AP11" s="14">
        <f t="shared" ca="1" si="9"/>
        <v>26929.759999999998</v>
      </c>
      <c r="AQ11" s="14">
        <f t="shared" ca="1" si="10"/>
        <v>2382.248</v>
      </c>
      <c r="AR11" s="14">
        <f t="shared" ca="1" si="11"/>
        <v>2589.4</v>
      </c>
      <c r="AS11" s="14">
        <f t="shared" ca="1" si="12"/>
        <v>57691.831999999995</v>
      </c>
    </row>
    <row r="12" spans="1:47" x14ac:dyDescent="0.35">
      <c r="A12" s="2" t="s">
        <v>37</v>
      </c>
      <c r="B12" t="s">
        <v>98</v>
      </c>
      <c r="C12" t="s">
        <v>99</v>
      </c>
      <c r="D12" s="3">
        <v>33404</v>
      </c>
      <c r="E12" s="2">
        <f ca="1">DATEDIF(Tableau93[[#This Row],[Date de Naissance]],TODAY(),"y")</f>
        <v>33</v>
      </c>
      <c r="F12" s="2" t="str">
        <f ca="1">IF(AND(Tableau93[[#This Row],[AGE]]&gt;0,Tableau93[[#This Row],[AGE]]&lt;=30),"0-30",IF(AND(Tableau93[[#This Row],[AGE]]&gt;30,Tableau93[[#This Row],[AGE]]&lt;=40),"30-40","&gt;50 ans"))</f>
        <v>30-40</v>
      </c>
      <c r="G12" s="2" t="s">
        <v>15</v>
      </c>
      <c r="H12" s="2" t="s">
        <v>24</v>
      </c>
      <c r="I12" s="3" t="s">
        <v>25</v>
      </c>
      <c r="J12" s="3">
        <v>43466</v>
      </c>
      <c r="K12" s="2">
        <f ca="1">DATEDIF(Tableau93[[#This Row],[Date Embauche]],TODAY(),"y")</f>
        <v>6</v>
      </c>
      <c r="L12"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12" s="2">
        <v>8407</v>
      </c>
      <c r="N12" s="8" t="s">
        <v>226</v>
      </c>
      <c r="O12" s="2" t="s">
        <v>179</v>
      </c>
      <c r="P12" s="2">
        <v>0</v>
      </c>
      <c r="Q12" s="8" t="s">
        <v>227</v>
      </c>
      <c r="R12" s="2" t="s">
        <v>228</v>
      </c>
      <c r="S12" s="2" t="s">
        <v>200</v>
      </c>
      <c r="T12" s="2">
        <v>19801</v>
      </c>
      <c r="U12" s="2" t="s">
        <v>174</v>
      </c>
      <c r="V12" s="2" t="s">
        <v>175</v>
      </c>
      <c r="W12" s="2" t="s">
        <v>185</v>
      </c>
      <c r="X12" s="2" t="s">
        <v>229</v>
      </c>
      <c r="Y12" s="3">
        <f>Tableau93[[#This Row],[Date Embauche]]+8000</f>
        <v>51466</v>
      </c>
      <c r="Z12" s="2" t="s">
        <v>22</v>
      </c>
      <c r="AA12" s="3" t="s">
        <v>18</v>
      </c>
      <c r="AB12" s="14">
        <f>SUMIF(Sheet2!$A:$A,DataSet_BON!A12,Sheet2!$F:$F)</f>
        <v>5</v>
      </c>
      <c r="AC12" s="14">
        <f>SUMIF(Sheet5!$A:$A,DataSet_BON!A12,Sheet5!$F:$F)</f>
        <v>0</v>
      </c>
      <c r="AD12" s="14">
        <f>SUMIF(AVANCES!$A:$A,DataSet_BON!A12,AVANCES!$E:$E)</f>
        <v>0</v>
      </c>
      <c r="AE12" s="14">
        <f>SUMIF(INDEMNITES_PRIMES!$A:$A,DataSet_BON!A12,INDEMNITES_PRIMES!$J:$J)</f>
        <v>0</v>
      </c>
      <c r="AF12" s="8">
        <f ca="1">IFERROR(INDEX(Sheet1!$M$2:$U$68,MATCH(INDEX(Sheet1!$B$4:$H$15,MATCH(DataSet_BON!I12,Sheet1!$B$4:$B$15,0),MATCH(DataSet_BON!H12,Sheet1!$B$4:$H$4,0)),Sheet1!$M$2:$M$68,0),MATCH(DataSet_BON!K12,Sheet1!$M$2:$U$2,0)),VLOOKUP(INDEX(Sheet1!$B$4:$H$15,MATCH(DataSet_BON!I12,Sheet1!$B$4:$B$15,0),MATCH(DataSet_BON!H12,Sheet1!$B$4:$H$4,0)),Sheet1!$J$3:$L$68,3,FALSE))</f>
        <v>647.35</v>
      </c>
      <c r="AG12" s="14">
        <f t="shared" ca="1" si="0"/>
        <v>3236.75</v>
      </c>
      <c r="AH12" s="14">
        <f t="shared" ca="1" si="1"/>
        <v>3236.75</v>
      </c>
      <c r="AI12" s="14">
        <f t="shared" ca="1" si="2"/>
        <v>103576</v>
      </c>
      <c r="AJ12" s="14">
        <f t="shared" ca="1" si="3"/>
        <v>103576</v>
      </c>
      <c r="AK12" s="14">
        <f t="shared" ca="1" si="4"/>
        <v>2485.8240000000001</v>
      </c>
      <c r="AL12" s="14">
        <f t="shared" ca="1" si="5"/>
        <v>517.88</v>
      </c>
      <c r="AM12" s="14">
        <f t="shared" ca="1" si="6"/>
        <v>3625.16</v>
      </c>
      <c r="AN12" s="14">
        <f t="shared" ca="1" si="7"/>
        <v>1760.7919999999999</v>
      </c>
      <c r="AO12" s="14">
        <f t="shared" ca="1" si="8"/>
        <v>5593.1040000000003</v>
      </c>
      <c r="AP12" s="14">
        <f t="shared" ca="1" si="9"/>
        <v>26929.759999999998</v>
      </c>
      <c r="AQ12" s="14">
        <f t="shared" ca="1" si="10"/>
        <v>2382.248</v>
      </c>
      <c r="AR12" s="14">
        <f t="shared" ca="1" si="11"/>
        <v>2589.4</v>
      </c>
      <c r="AS12" s="14">
        <f t="shared" ca="1" si="12"/>
        <v>57691.831999999995</v>
      </c>
    </row>
    <row r="13" spans="1:47" x14ac:dyDescent="0.35">
      <c r="A13" s="2" t="s">
        <v>38</v>
      </c>
      <c r="B13" t="s">
        <v>100</v>
      </c>
      <c r="C13" t="s">
        <v>101</v>
      </c>
      <c r="D13" s="3">
        <v>34914</v>
      </c>
      <c r="E13" s="2">
        <f ca="1">DATEDIF(Tableau93[[#This Row],[Date de Naissance]],TODAY(),"y")</f>
        <v>29</v>
      </c>
      <c r="F13" s="2" t="str">
        <f ca="1">IF(AND(Tableau93[[#This Row],[AGE]]&gt;0,Tableau93[[#This Row],[AGE]]&lt;=30),"0-30",IF(AND(Tableau93[[#This Row],[AGE]]&gt;30,Tableau93[[#This Row],[AGE]]&lt;=40),"30-40","&gt;50 ans"))</f>
        <v>0-30</v>
      </c>
      <c r="G13" s="2" t="s">
        <v>15</v>
      </c>
      <c r="H13" s="2" t="s">
        <v>24</v>
      </c>
      <c r="I13" s="3" t="s">
        <v>25</v>
      </c>
      <c r="J13" s="3">
        <v>43466</v>
      </c>
      <c r="K13" s="2">
        <f ca="1">DATEDIF(Tableau93[[#This Row],[Date Embauche]],TODAY(),"y")</f>
        <v>6</v>
      </c>
      <c r="L13"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13" s="2">
        <v>17806</v>
      </c>
      <c r="N13" s="8" t="s">
        <v>230</v>
      </c>
      <c r="O13" s="2" t="s">
        <v>170</v>
      </c>
      <c r="P13" s="2">
        <v>2</v>
      </c>
      <c r="Q13" s="8" t="s">
        <v>231</v>
      </c>
      <c r="R13" s="2" t="s">
        <v>232</v>
      </c>
      <c r="S13" s="2" t="s">
        <v>195</v>
      </c>
      <c r="T13" s="2">
        <v>95554</v>
      </c>
      <c r="U13" s="2" t="s">
        <v>174</v>
      </c>
      <c r="V13" s="2" t="s">
        <v>175</v>
      </c>
      <c r="W13" s="2" t="s">
        <v>185</v>
      </c>
      <c r="X13" s="2" t="s">
        <v>233</v>
      </c>
      <c r="Y13" s="3">
        <f>Tableau93[[#This Row],[Date Embauche]]+8000</f>
        <v>51466</v>
      </c>
      <c r="Z13" s="2" t="s">
        <v>22</v>
      </c>
      <c r="AA13" s="3" t="s">
        <v>18</v>
      </c>
      <c r="AB13" s="14">
        <f>SUMIF(Sheet2!$A:$A,DataSet_BON!A13,Sheet2!$F:$F)</f>
        <v>0</v>
      </c>
      <c r="AC13" s="14">
        <f>SUMIF(Sheet5!$A:$A,DataSet_BON!A13,Sheet5!$F:$F)</f>
        <v>0</v>
      </c>
      <c r="AD13" s="14">
        <f>SUMIF(AVANCES!$A:$A,DataSet_BON!A13,AVANCES!$E:$E)</f>
        <v>0</v>
      </c>
      <c r="AE13" s="14">
        <f>SUMIF(INDEMNITES_PRIMES!$A:$A,DataSet_BON!A13,INDEMNITES_PRIMES!$J:$J)</f>
        <v>0</v>
      </c>
      <c r="AF13" s="8">
        <f ca="1">IFERROR(INDEX(Sheet1!$M$2:$U$68,MATCH(INDEX(Sheet1!$B$4:$H$15,MATCH(DataSet_BON!I13,Sheet1!$B$4:$B$15,0),MATCH(DataSet_BON!H13,Sheet1!$B$4:$H$4,0)),Sheet1!$M$2:$M$68,0),MATCH(DataSet_BON!K13,Sheet1!$M$2:$U$2,0)),VLOOKUP(INDEX(Sheet1!$B$4:$H$15,MATCH(DataSet_BON!I13,Sheet1!$B$4:$B$15,0),MATCH(DataSet_BON!H13,Sheet1!$B$4:$H$4,0)),Sheet1!$J$3:$L$68,3,FALSE))</f>
        <v>647.35</v>
      </c>
      <c r="AG13" s="14">
        <f t="shared" ca="1" si="0"/>
        <v>0</v>
      </c>
      <c r="AH13" s="14">
        <f t="shared" ca="1" si="1"/>
        <v>0</v>
      </c>
      <c r="AI13" s="14">
        <f t="shared" ca="1" si="2"/>
        <v>103576</v>
      </c>
      <c r="AJ13" s="14">
        <f t="shared" ca="1" si="3"/>
        <v>103576</v>
      </c>
      <c r="AK13" s="14">
        <f t="shared" ca="1" si="4"/>
        <v>2485.8240000000001</v>
      </c>
      <c r="AL13" s="14">
        <f t="shared" ca="1" si="5"/>
        <v>517.88</v>
      </c>
      <c r="AM13" s="14">
        <f t="shared" ca="1" si="6"/>
        <v>3625.16</v>
      </c>
      <c r="AN13" s="14">
        <f t="shared" ca="1" si="7"/>
        <v>1760.7919999999999</v>
      </c>
      <c r="AO13" s="14">
        <f t="shared" ca="1" si="8"/>
        <v>5593.1040000000003</v>
      </c>
      <c r="AP13" s="14">
        <f t="shared" ca="1" si="9"/>
        <v>26929.759999999998</v>
      </c>
      <c r="AQ13" s="14">
        <f t="shared" ca="1" si="10"/>
        <v>2382.248</v>
      </c>
      <c r="AR13" s="14">
        <f t="shared" ca="1" si="11"/>
        <v>2589.4</v>
      </c>
      <c r="AS13" s="14">
        <f t="shared" ca="1" si="12"/>
        <v>57691.831999999995</v>
      </c>
    </row>
    <row r="14" spans="1:47" x14ac:dyDescent="0.35">
      <c r="A14" s="2" t="s">
        <v>39</v>
      </c>
      <c r="B14" t="s">
        <v>102</v>
      </c>
      <c r="C14" t="s">
        <v>103</v>
      </c>
      <c r="D14" s="3">
        <v>34842</v>
      </c>
      <c r="E14" s="2">
        <f ca="1">DATEDIF(Tableau93[[#This Row],[Date de Naissance]],TODAY(),"y")</f>
        <v>30</v>
      </c>
      <c r="F14" s="2" t="str">
        <f ca="1">IF(AND(Tableau93[[#This Row],[AGE]]&gt;0,Tableau93[[#This Row],[AGE]]&lt;=30),"0-30",IF(AND(Tableau93[[#This Row],[AGE]]&gt;30,Tableau93[[#This Row],[AGE]]&lt;=40),"30-40","&gt;50 ans"))</f>
        <v>0-30</v>
      </c>
      <c r="G14" s="2" t="s">
        <v>15</v>
      </c>
      <c r="H14" s="2" t="s">
        <v>35</v>
      </c>
      <c r="I14" s="3" t="s">
        <v>40</v>
      </c>
      <c r="J14" s="3">
        <v>43466</v>
      </c>
      <c r="K14" s="2">
        <f ca="1">DATEDIF(Tableau93[[#This Row],[Date Embauche]],TODAY(),"y")</f>
        <v>6</v>
      </c>
      <c r="L14"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14" s="2">
        <v>436</v>
      </c>
      <c r="N14" s="8" t="s">
        <v>234</v>
      </c>
      <c r="O14" s="2" t="s">
        <v>203</v>
      </c>
      <c r="P14" s="2">
        <v>4</v>
      </c>
      <c r="Q14" s="8" t="s">
        <v>235</v>
      </c>
      <c r="R14" s="2" t="s">
        <v>236</v>
      </c>
      <c r="S14" s="2" t="s">
        <v>173</v>
      </c>
      <c r="T14" s="2">
        <v>58497</v>
      </c>
      <c r="U14" s="2" t="s">
        <v>183</v>
      </c>
      <c r="V14" s="2" t="s">
        <v>175</v>
      </c>
      <c r="W14" s="2" t="s">
        <v>190</v>
      </c>
      <c r="X14" s="2" t="s">
        <v>237</v>
      </c>
      <c r="Y14" s="3">
        <f>Tableau93[[#This Row],[Date Embauche]]+8000</f>
        <v>51466</v>
      </c>
      <c r="Z14" s="2" t="s">
        <v>14</v>
      </c>
      <c r="AA14" s="3" t="s">
        <v>18</v>
      </c>
      <c r="AB14" s="14">
        <f>SUMIF(Sheet2!$A:$A,DataSet_BON!A14,Sheet2!$F:$F)</f>
        <v>0</v>
      </c>
      <c r="AC14" s="14">
        <f>SUMIF(Sheet5!$A:$A,DataSet_BON!A14,Sheet5!$F:$F)</f>
        <v>5</v>
      </c>
      <c r="AD14" s="14">
        <f>SUMIF(AVANCES!$A:$A,DataSet_BON!A14,AVANCES!$E:$E)</f>
        <v>0</v>
      </c>
      <c r="AE14" s="14">
        <f>SUMIF(INDEMNITES_PRIMES!$A:$A,DataSet_BON!A14,INDEMNITES_PRIMES!$J:$J)</f>
        <v>0</v>
      </c>
      <c r="AF14" s="8">
        <f ca="1">IFERROR(INDEX(Sheet1!$M$2:$U$68,MATCH(INDEX(Sheet1!$B$4:$H$15,MATCH(DataSet_BON!I14,Sheet1!$B$4:$B$15,0),MATCH(DataSet_BON!H14,Sheet1!$B$4:$H$4,0)),Sheet1!$M$2:$M$68,0),MATCH(DataSet_BON!K14,Sheet1!$M$2:$U$2,0)),VLOOKUP(INDEX(Sheet1!$B$4:$H$15,MATCH(DataSet_BON!I14,Sheet1!$B$4:$B$15,0),MATCH(DataSet_BON!H14,Sheet1!$B$4:$H$4,0)),Sheet1!$J$3:$L$68,3,FALSE))</f>
        <v>341.21999999999997</v>
      </c>
      <c r="AG14" s="14">
        <f t="shared" ca="1" si="0"/>
        <v>0</v>
      </c>
      <c r="AH14" s="14">
        <f t="shared" ca="1" si="1"/>
        <v>0</v>
      </c>
      <c r="AI14" s="14">
        <f t="shared" ca="1" si="2"/>
        <v>54595.199999999997</v>
      </c>
      <c r="AJ14" s="14">
        <f t="shared" ca="1" si="3"/>
        <v>54595.199999999997</v>
      </c>
      <c r="AK14" s="14">
        <f t="shared" ca="1" si="4"/>
        <v>1310.2847999999999</v>
      </c>
      <c r="AL14" s="14">
        <f t="shared" ca="1" si="5"/>
        <v>272.976</v>
      </c>
      <c r="AM14" s="14">
        <f t="shared" ca="1" si="6"/>
        <v>1910.8319999999999</v>
      </c>
      <c r="AN14" s="14">
        <f t="shared" ca="1" si="7"/>
        <v>928.11839999999995</v>
      </c>
      <c r="AO14" s="14">
        <f t="shared" ca="1" si="8"/>
        <v>2948.1408000000001</v>
      </c>
      <c r="AP14" s="14">
        <f t="shared" ca="1" si="9"/>
        <v>14194.752</v>
      </c>
      <c r="AQ14" s="14">
        <f t="shared" ca="1" si="10"/>
        <v>1255.6895999999997</v>
      </c>
      <c r="AR14" s="14">
        <f t="shared" ca="1" si="11"/>
        <v>1364.88</v>
      </c>
      <c r="AS14" s="14">
        <f t="shared" ca="1" si="12"/>
        <v>30409.526399999992</v>
      </c>
    </row>
    <row r="15" spans="1:47" x14ac:dyDescent="0.35">
      <c r="A15" s="2" t="s">
        <v>41</v>
      </c>
      <c r="B15" t="s">
        <v>104</v>
      </c>
      <c r="C15" t="s">
        <v>105</v>
      </c>
      <c r="D15" s="3">
        <v>32342</v>
      </c>
      <c r="E15" s="2">
        <f ca="1">DATEDIF(Tableau93[[#This Row],[Date de Naissance]],TODAY(),"y")</f>
        <v>36</v>
      </c>
      <c r="F15" s="2" t="str">
        <f ca="1">IF(AND(Tableau93[[#This Row],[AGE]]&gt;0,Tableau93[[#This Row],[AGE]]&lt;=30),"0-30",IF(AND(Tableau93[[#This Row],[AGE]]&gt;30,Tableau93[[#This Row],[AGE]]&lt;=40),"30-40","&gt;50 ans"))</f>
        <v>30-40</v>
      </c>
      <c r="G15" s="2" t="s">
        <v>23</v>
      </c>
      <c r="H15" s="2" t="s">
        <v>42</v>
      </c>
      <c r="I15" s="3" t="s">
        <v>43</v>
      </c>
      <c r="J15" s="3">
        <v>43466</v>
      </c>
      <c r="K15" s="2">
        <f ca="1">DATEDIF(Tableau93[[#This Row],[Date Embauche]],TODAY(),"y")</f>
        <v>6</v>
      </c>
      <c r="L15"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15" s="2">
        <v>14186</v>
      </c>
      <c r="N15" s="8" t="s">
        <v>238</v>
      </c>
      <c r="O15" s="2" t="s">
        <v>170</v>
      </c>
      <c r="P15" s="2">
        <v>2</v>
      </c>
      <c r="Q15" s="8" t="s">
        <v>239</v>
      </c>
      <c r="R15" s="2" t="s">
        <v>240</v>
      </c>
      <c r="S15" s="2" t="s">
        <v>173</v>
      </c>
      <c r="T15" s="2">
        <v>37355</v>
      </c>
      <c r="U15" s="2" t="s">
        <v>174</v>
      </c>
      <c r="V15" s="2" t="s">
        <v>175</v>
      </c>
      <c r="W15" s="2" t="s">
        <v>190</v>
      </c>
      <c r="X15" s="2" t="s">
        <v>241</v>
      </c>
      <c r="Y15" s="3">
        <f>Tableau93[[#This Row],[Date Embauche]]+8000</f>
        <v>51466</v>
      </c>
      <c r="Z15" s="2" t="s">
        <v>14</v>
      </c>
      <c r="AA15" s="3" t="s">
        <v>18</v>
      </c>
      <c r="AB15" s="14">
        <f>SUMIF(Sheet2!$A:$A,DataSet_BON!A15,Sheet2!$F:$F)</f>
        <v>0</v>
      </c>
      <c r="AC15" s="14">
        <f>SUMIF(Sheet5!$A:$A,DataSet_BON!A15,Sheet5!$F:$F)</f>
        <v>0</v>
      </c>
      <c r="AD15" s="14">
        <f>SUMIF(AVANCES!$A:$A,DataSet_BON!A15,AVANCES!$E:$E)</f>
        <v>0</v>
      </c>
      <c r="AE15" s="14">
        <f>SUMIF(INDEMNITES_PRIMES!$A:$A,DataSet_BON!A15,INDEMNITES_PRIMES!$J:$J)</f>
        <v>0</v>
      </c>
      <c r="AF15" s="8">
        <f ca="1">IFERROR(INDEX(Sheet1!$M$2:$U$68,MATCH(INDEX(Sheet1!$B$4:$H$15,MATCH(DataSet_BON!I15,Sheet1!$B$4:$B$15,0),MATCH(DataSet_BON!H15,Sheet1!$B$4:$H$4,0)),Sheet1!$M$2:$M$68,0),MATCH(DataSet_BON!K15,Sheet1!$M$2:$U$2,0)),VLOOKUP(INDEX(Sheet1!$B$4:$H$15,MATCH(DataSet_BON!I15,Sheet1!$B$4:$B$15,0),MATCH(DataSet_BON!H15,Sheet1!$B$4:$H$4,0)),Sheet1!$J$3:$L$68,3,FALSE))</f>
        <v>699.37999999999988</v>
      </c>
      <c r="AG15" s="14">
        <f t="shared" ca="1" si="0"/>
        <v>0</v>
      </c>
      <c r="AH15" s="14">
        <f t="shared" ca="1" si="1"/>
        <v>0</v>
      </c>
      <c r="AI15" s="14">
        <f t="shared" ca="1" si="2"/>
        <v>111900.79999999999</v>
      </c>
      <c r="AJ15" s="14">
        <f t="shared" ca="1" si="3"/>
        <v>111900.79999999999</v>
      </c>
      <c r="AK15" s="14">
        <f t="shared" ca="1" si="4"/>
        <v>2685.6191999999996</v>
      </c>
      <c r="AL15" s="14">
        <f t="shared" ca="1" si="5"/>
        <v>559.50399999999991</v>
      </c>
      <c r="AM15" s="14">
        <f t="shared" ca="1" si="6"/>
        <v>3916.5279999999993</v>
      </c>
      <c r="AN15" s="14">
        <f t="shared" ca="1" si="7"/>
        <v>1902.3136</v>
      </c>
      <c r="AO15" s="14">
        <f t="shared" ca="1" si="8"/>
        <v>6042.6431999999995</v>
      </c>
      <c r="AP15" s="14">
        <f t="shared" ca="1" si="9"/>
        <v>29094.207999999999</v>
      </c>
      <c r="AQ15" s="14">
        <f t="shared" ca="1" si="10"/>
        <v>2573.7183999999997</v>
      </c>
      <c r="AR15" s="14">
        <f t="shared" ca="1" si="11"/>
        <v>2797.52</v>
      </c>
      <c r="AS15" s="14">
        <f t="shared" ca="1" si="12"/>
        <v>62328.745599999987</v>
      </c>
    </row>
    <row r="16" spans="1:47" x14ac:dyDescent="0.35">
      <c r="A16" s="2" t="s">
        <v>44</v>
      </c>
      <c r="B16" t="s">
        <v>106</v>
      </c>
      <c r="C16" t="s">
        <v>107</v>
      </c>
      <c r="D16" s="3">
        <v>34196</v>
      </c>
      <c r="E16" s="2">
        <f ca="1">DATEDIF(Tableau93[[#This Row],[Date de Naissance]],TODAY(),"y")</f>
        <v>31</v>
      </c>
      <c r="F16" s="2" t="str">
        <f ca="1">IF(AND(Tableau93[[#This Row],[AGE]]&gt;0,Tableau93[[#This Row],[AGE]]&lt;=30),"0-30",IF(AND(Tableau93[[#This Row],[AGE]]&gt;30,Tableau93[[#This Row],[AGE]]&lt;=40),"30-40","&gt;50 ans"))</f>
        <v>30-40</v>
      </c>
      <c r="G16" s="2" t="s">
        <v>15</v>
      </c>
      <c r="H16" s="2" t="s">
        <v>16</v>
      </c>
      <c r="I16" s="3" t="s">
        <v>36</v>
      </c>
      <c r="J16" s="3">
        <v>43466</v>
      </c>
      <c r="K16" s="2">
        <f ca="1">DATEDIF(Tableau93[[#This Row],[Date Embauche]],TODAY(),"y")</f>
        <v>6</v>
      </c>
      <c r="L16"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16" s="2">
        <v>17720</v>
      </c>
      <c r="N16" s="8" t="s">
        <v>242</v>
      </c>
      <c r="O16" s="2" t="s">
        <v>203</v>
      </c>
      <c r="P16" s="2">
        <v>2</v>
      </c>
      <c r="Q16" s="8" t="s">
        <v>243</v>
      </c>
      <c r="R16" s="2" t="s">
        <v>244</v>
      </c>
      <c r="S16" s="2" t="s">
        <v>200</v>
      </c>
      <c r="T16" s="2">
        <v>12613</v>
      </c>
      <c r="U16" s="2" t="s">
        <v>174</v>
      </c>
      <c r="V16" s="2" t="s">
        <v>175</v>
      </c>
      <c r="W16" s="2" t="s">
        <v>190</v>
      </c>
      <c r="X16" s="2" t="s">
        <v>245</v>
      </c>
      <c r="Y16" s="3">
        <f>Tableau93[[#This Row],[Date Embauche]]+8000</f>
        <v>51466</v>
      </c>
      <c r="Z16" s="2" t="s">
        <v>14</v>
      </c>
      <c r="AA16" s="3" t="s">
        <v>18</v>
      </c>
      <c r="AB16" s="14">
        <f>SUMIF(Sheet2!$A:$A,DataSet_BON!A16,Sheet2!$F:$F)</f>
        <v>0</v>
      </c>
      <c r="AC16" s="14">
        <f>SUMIF(Sheet5!$A:$A,DataSet_BON!A16,Sheet5!$F:$F)</f>
        <v>0</v>
      </c>
      <c r="AD16" s="14">
        <f>SUMIF(AVANCES!$A:$A,DataSet_BON!A16,AVANCES!$E:$E)</f>
        <v>0</v>
      </c>
      <c r="AE16" s="14">
        <f>SUMIF(INDEMNITES_PRIMES!$A:$A,DataSet_BON!A16,INDEMNITES_PRIMES!$J:$J)</f>
        <v>0</v>
      </c>
      <c r="AF16" s="8">
        <f ca="1">IFERROR(INDEX(Sheet1!$M$2:$U$68,MATCH(INDEX(Sheet1!$B$4:$H$15,MATCH(DataSet_BON!I16,Sheet1!$B$4:$B$15,0),MATCH(DataSet_BON!H16,Sheet1!$B$4:$H$4,0)),Sheet1!$M$2:$M$68,0),MATCH(DataSet_BON!K16,Sheet1!$M$2:$U$2,0)),VLOOKUP(INDEX(Sheet1!$B$4:$H$15,MATCH(DataSet_BON!I16,Sheet1!$B$4:$B$15,0),MATCH(DataSet_BON!H16,Sheet1!$B$4:$H$4,0)),Sheet1!$J$3:$L$68,3,FALSE))</f>
        <v>2747.9100000000008</v>
      </c>
      <c r="AG16" s="14">
        <f t="shared" ca="1" si="0"/>
        <v>0</v>
      </c>
      <c r="AH16" s="14">
        <f t="shared" ca="1" si="1"/>
        <v>0</v>
      </c>
      <c r="AI16" s="14">
        <f t="shared" ca="1" si="2"/>
        <v>439665.60000000009</v>
      </c>
      <c r="AJ16" s="14">
        <f t="shared" ca="1" si="3"/>
        <v>439665.60000000009</v>
      </c>
      <c r="AK16" s="14">
        <f t="shared" ca="1" si="4"/>
        <v>10551.974400000001</v>
      </c>
      <c r="AL16" s="14">
        <f t="shared" ca="1" si="5"/>
        <v>2198.3280000000004</v>
      </c>
      <c r="AM16" s="14">
        <f t="shared" ca="1" si="6"/>
        <v>15388.296000000004</v>
      </c>
      <c r="AN16" s="14">
        <f t="shared" ca="1" si="7"/>
        <v>7474.3152000000009</v>
      </c>
      <c r="AO16" s="14">
        <f t="shared" ca="1" si="8"/>
        <v>23741.942400000007</v>
      </c>
      <c r="AP16" s="14">
        <f t="shared" ca="1" si="9"/>
        <v>114313.05600000001</v>
      </c>
      <c r="AQ16" s="14">
        <f t="shared" ca="1" si="10"/>
        <v>10112.308800000001</v>
      </c>
      <c r="AR16" s="14">
        <f t="shared" ca="1" si="11"/>
        <v>10991.640000000003</v>
      </c>
      <c r="AS16" s="14">
        <f t="shared" ca="1" si="12"/>
        <v>244893.73920000007</v>
      </c>
    </row>
    <row r="17" spans="1:45" x14ac:dyDescent="0.35">
      <c r="A17" s="2" t="s">
        <v>45</v>
      </c>
      <c r="B17" t="s">
        <v>108</v>
      </c>
      <c r="C17" t="s">
        <v>93</v>
      </c>
      <c r="D17" s="3">
        <v>35300</v>
      </c>
      <c r="E17" s="2">
        <f ca="1">DATEDIF(Tableau93[[#This Row],[Date de Naissance]],TODAY(),"y")</f>
        <v>28</v>
      </c>
      <c r="F17" s="2" t="str">
        <f ca="1">IF(AND(Tableau93[[#This Row],[AGE]]&gt;0,Tableau93[[#This Row],[AGE]]&lt;=30),"0-30",IF(AND(Tableau93[[#This Row],[AGE]]&gt;30,Tableau93[[#This Row],[AGE]]&lt;=40),"30-40","&gt;50 ans"))</f>
        <v>0-30</v>
      </c>
      <c r="G17" s="2" t="s">
        <v>15</v>
      </c>
      <c r="H17" s="2" t="s">
        <v>24</v>
      </c>
      <c r="I17" s="3" t="s">
        <v>25</v>
      </c>
      <c r="J17" s="3">
        <v>43466</v>
      </c>
      <c r="K17" s="2">
        <f ca="1">DATEDIF(Tableau93[[#This Row],[Date Embauche]],TODAY(),"y")</f>
        <v>6</v>
      </c>
      <c r="L17"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17" s="2">
        <v>19504</v>
      </c>
      <c r="N17" s="8" t="s">
        <v>246</v>
      </c>
      <c r="O17" s="2" t="s">
        <v>170</v>
      </c>
      <c r="P17" s="2">
        <v>2</v>
      </c>
      <c r="Q17" s="8" t="s">
        <v>247</v>
      </c>
      <c r="R17" s="2" t="s">
        <v>248</v>
      </c>
      <c r="S17" s="2" t="s">
        <v>195</v>
      </c>
      <c r="T17" s="2">
        <v>75378</v>
      </c>
      <c r="U17" s="2" t="s">
        <v>183</v>
      </c>
      <c r="V17" s="2" t="s">
        <v>184</v>
      </c>
      <c r="W17" s="2" t="s">
        <v>185</v>
      </c>
      <c r="X17" s="2" t="s">
        <v>249</v>
      </c>
      <c r="Y17" s="3">
        <f>Tableau93[[#This Row],[Date Embauche]]+8000</f>
        <v>51466</v>
      </c>
      <c r="Z17" s="2" t="s">
        <v>22</v>
      </c>
      <c r="AA17" s="3" t="s">
        <v>18</v>
      </c>
      <c r="AB17" s="14">
        <f>SUMIF(Sheet2!$A:$A,DataSet_BON!A17,Sheet2!$F:$F)</f>
        <v>0</v>
      </c>
      <c r="AC17" s="14">
        <f>SUMIF(Sheet5!$A:$A,DataSet_BON!A17,Sheet5!$F:$F)</f>
        <v>0</v>
      </c>
      <c r="AD17" s="14">
        <f>SUMIF(AVANCES!$A:$A,DataSet_BON!A17,AVANCES!$E:$E)</f>
        <v>0</v>
      </c>
      <c r="AE17" s="14">
        <f>SUMIF(INDEMNITES_PRIMES!$A:$A,DataSet_BON!A17,INDEMNITES_PRIMES!$J:$J)</f>
        <v>0</v>
      </c>
      <c r="AF17" s="8">
        <f ca="1">IFERROR(INDEX(Sheet1!$M$2:$U$68,MATCH(INDEX(Sheet1!$B$4:$H$15,MATCH(DataSet_BON!I17,Sheet1!$B$4:$B$15,0),MATCH(DataSet_BON!H17,Sheet1!$B$4:$H$4,0)),Sheet1!$M$2:$M$68,0),MATCH(DataSet_BON!K17,Sheet1!$M$2:$U$2,0)),VLOOKUP(INDEX(Sheet1!$B$4:$H$15,MATCH(DataSet_BON!I17,Sheet1!$B$4:$B$15,0),MATCH(DataSet_BON!H17,Sheet1!$B$4:$H$4,0)),Sheet1!$J$3:$L$68,3,FALSE))</f>
        <v>647.35</v>
      </c>
      <c r="AG17" s="14">
        <f t="shared" ca="1" si="0"/>
        <v>0</v>
      </c>
      <c r="AH17" s="14">
        <f t="shared" ca="1" si="1"/>
        <v>0</v>
      </c>
      <c r="AI17" s="14">
        <f t="shared" ca="1" si="2"/>
        <v>103576</v>
      </c>
      <c r="AJ17" s="14">
        <f t="shared" ca="1" si="3"/>
        <v>103576</v>
      </c>
      <c r="AK17" s="14">
        <f t="shared" ca="1" si="4"/>
        <v>2485.8240000000001</v>
      </c>
      <c r="AL17" s="14">
        <f t="shared" ca="1" si="5"/>
        <v>517.88</v>
      </c>
      <c r="AM17" s="14">
        <f t="shared" ca="1" si="6"/>
        <v>3625.16</v>
      </c>
      <c r="AN17" s="14">
        <f t="shared" ca="1" si="7"/>
        <v>1760.7919999999999</v>
      </c>
      <c r="AO17" s="14">
        <f t="shared" ca="1" si="8"/>
        <v>5593.1040000000003</v>
      </c>
      <c r="AP17" s="14">
        <f t="shared" ca="1" si="9"/>
        <v>26929.759999999998</v>
      </c>
      <c r="AQ17" s="14">
        <f t="shared" ca="1" si="10"/>
        <v>2382.248</v>
      </c>
      <c r="AR17" s="14">
        <f t="shared" ca="1" si="11"/>
        <v>2589.4</v>
      </c>
      <c r="AS17" s="14">
        <f t="shared" ca="1" si="12"/>
        <v>57691.831999999995</v>
      </c>
    </row>
    <row r="18" spans="1:45" x14ac:dyDescent="0.35">
      <c r="A18" s="2" t="s">
        <v>46</v>
      </c>
      <c r="B18" t="s">
        <v>109</v>
      </c>
      <c r="C18" t="s">
        <v>110</v>
      </c>
      <c r="D18" s="3">
        <v>36206</v>
      </c>
      <c r="E18" s="2">
        <f ca="1">DATEDIF(Tableau93[[#This Row],[Date de Naissance]],TODAY(),"y")</f>
        <v>26</v>
      </c>
      <c r="F18" s="2" t="str">
        <f ca="1">IF(AND(Tableau93[[#This Row],[AGE]]&gt;0,Tableau93[[#This Row],[AGE]]&lt;=30),"0-30",IF(AND(Tableau93[[#This Row],[AGE]]&gt;30,Tableau93[[#This Row],[AGE]]&lt;=40),"30-40","&gt;50 ans"))</f>
        <v>0-30</v>
      </c>
      <c r="G18" s="2" t="s">
        <v>23</v>
      </c>
      <c r="H18" s="2" t="s">
        <v>24</v>
      </c>
      <c r="I18" s="3" t="s">
        <v>25</v>
      </c>
      <c r="J18" s="3">
        <v>43466</v>
      </c>
      <c r="K18" s="2">
        <f ca="1">DATEDIF(Tableau93[[#This Row],[Date Embauche]],TODAY(),"y")</f>
        <v>6</v>
      </c>
      <c r="L18"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18" s="2">
        <v>13344</v>
      </c>
      <c r="N18" s="8" t="s">
        <v>250</v>
      </c>
      <c r="O18" s="2" t="s">
        <v>179</v>
      </c>
      <c r="P18" s="2">
        <v>0</v>
      </c>
      <c r="Q18" s="8" t="s">
        <v>251</v>
      </c>
      <c r="R18" s="2" t="s">
        <v>252</v>
      </c>
      <c r="S18" s="2" t="s">
        <v>224</v>
      </c>
      <c r="T18" s="2">
        <v>90048</v>
      </c>
      <c r="U18" s="2" t="s">
        <v>183</v>
      </c>
      <c r="V18" s="2" t="s">
        <v>175</v>
      </c>
      <c r="W18" s="2" t="s">
        <v>190</v>
      </c>
      <c r="X18" s="2" t="s">
        <v>253</v>
      </c>
      <c r="Y18" s="3">
        <f>Tableau93[[#This Row],[Date Embauche]]+8000</f>
        <v>51466</v>
      </c>
      <c r="Z18" s="2" t="s">
        <v>22</v>
      </c>
      <c r="AA18" s="3" t="s">
        <v>18</v>
      </c>
      <c r="AB18" s="14">
        <f>SUMIF(Sheet2!$A:$A,DataSet_BON!A18,Sheet2!$F:$F)</f>
        <v>0</v>
      </c>
      <c r="AC18" s="14">
        <f>SUMIF(Sheet5!$A:$A,DataSet_BON!A18,Sheet5!$F:$F)</f>
        <v>0</v>
      </c>
      <c r="AD18" s="14">
        <f>SUMIF(AVANCES!$A:$A,DataSet_BON!A18,AVANCES!$E:$E)</f>
        <v>0</v>
      </c>
      <c r="AE18" s="14">
        <f>SUMIF(INDEMNITES_PRIMES!$A:$A,DataSet_BON!A18,INDEMNITES_PRIMES!$J:$J)</f>
        <v>0</v>
      </c>
      <c r="AF18" s="8">
        <f ca="1">IFERROR(INDEX(Sheet1!$M$2:$U$68,MATCH(INDEX(Sheet1!$B$4:$H$15,MATCH(DataSet_BON!I18,Sheet1!$B$4:$B$15,0),MATCH(DataSet_BON!H18,Sheet1!$B$4:$H$4,0)),Sheet1!$M$2:$M$68,0),MATCH(DataSet_BON!K18,Sheet1!$M$2:$U$2,0)),VLOOKUP(INDEX(Sheet1!$B$4:$H$15,MATCH(DataSet_BON!I18,Sheet1!$B$4:$B$15,0),MATCH(DataSet_BON!H18,Sheet1!$B$4:$H$4,0)),Sheet1!$J$3:$L$68,3,FALSE))</f>
        <v>647.35</v>
      </c>
      <c r="AG18" s="14">
        <f t="shared" ca="1" si="0"/>
        <v>0</v>
      </c>
      <c r="AH18" s="14">
        <f t="shared" ca="1" si="1"/>
        <v>0</v>
      </c>
      <c r="AI18" s="14">
        <f t="shared" ca="1" si="2"/>
        <v>103576</v>
      </c>
      <c r="AJ18" s="14">
        <f t="shared" ca="1" si="3"/>
        <v>103576</v>
      </c>
      <c r="AK18" s="14">
        <f t="shared" ca="1" si="4"/>
        <v>2485.8240000000001</v>
      </c>
      <c r="AL18" s="14">
        <f t="shared" ca="1" si="5"/>
        <v>517.88</v>
      </c>
      <c r="AM18" s="14">
        <f t="shared" ca="1" si="6"/>
        <v>3625.16</v>
      </c>
      <c r="AN18" s="14">
        <f t="shared" ca="1" si="7"/>
        <v>1760.7919999999999</v>
      </c>
      <c r="AO18" s="14">
        <f t="shared" ca="1" si="8"/>
        <v>5593.1040000000003</v>
      </c>
      <c r="AP18" s="14">
        <f t="shared" ca="1" si="9"/>
        <v>26929.759999999998</v>
      </c>
      <c r="AQ18" s="14">
        <f t="shared" ca="1" si="10"/>
        <v>2382.248</v>
      </c>
      <c r="AR18" s="14">
        <f t="shared" ca="1" si="11"/>
        <v>2589.4</v>
      </c>
      <c r="AS18" s="14">
        <f t="shared" ca="1" si="12"/>
        <v>57691.831999999995</v>
      </c>
    </row>
    <row r="19" spans="1:45" x14ac:dyDescent="0.35">
      <c r="A19" s="2" t="s">
        <v>47</v>
      </c>
      <c r="B19" t="s">
        <v>111</v>
      </c>
      <c r="C19" t="s">
        <v>112</v>
      </c>
      <c r="D19" s="3">
        <v>32743</v>
      </c>
      <c r="E19" s="2">
        <f ca="1">DATEDIF(Tableau93[[#This Row],[Date de Naissance]],TODAY(),"y")</f>
        <v>35</v>
      </c>
      <c r="F19" s="2" t="str">
        <f ca="1">IF(AND(Tableau93[[#This Row],[AGE]]&gt;0,Tableau93[[#This Row],[AGE]]&lt;=30),"0-30",IF(AND(Tableau93[[#This Row],[AGE]]&gt;30,Tableau93[[#This Row],[AGE]]&lt;=40),"30-40","&gt;50 ans"))</f>
        <v>30-40</v>
      </c>
      <c r="G19" s="2" t="s">
        <v>15</v>
      </c>
      <c r="H19" s="2" t="s">
        <v>42</v>
      </c>
      <c r="I19" s="3" t="s">
        <v>48</v>
      </c>
      <c r="J19" s="3">
        <v>43466</v>
      </c>
      <c r="K19" s="2">
        <f ca="1">DATEDIF(Tableau93[[#This Row],[Date Embauche]],TODAY(),"y")</f>
        <v>6</v>
      </c>
      <c r="L19"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19" s="2">
        <v>7065</v>
      </c>
      <c r="N19" s="8" t="s">
        <v>254</v>
      </c>
      <c r="O19" s="2" t="s">
        <v>170</v>
      </c>
      <c r="P19" s="2">
        <v>4</v>
      </c>
      <c r="Q19" s="8" t="s">
        <v>255</v>
      </c>
      <c r="R19" s="2" t="s">
        <v>256</v>
      </c>
      <c r="S19" s="2" t="s">
        <v>182</v>
      </c>
      <c r="T19" s="2">
        <v>32550</v>
      </c>
      <c r="U19" s="2" t="s">
        <v>174</v>
      </c>
      <c r="V19" s="2" t="s">
        <v>175</v>
      </c>
      <c r="W19" s="2" t="s">
        <v>176</v>
      </c>
      <c r="X19" s="2" t="s">
        <v>257</v>
      </c>
      <c r="Y19" s="3">
        <f>Tableau93[[#This Row],[Date Embauche]]+8000</f>
        <v>51466</v>
      </c>
      <c r="Z19" s="2" t="s">
        <v>14</v>
      </c>
      <c r="AA19" s="3" t="s">
        <v>18</v>
      </c>
      <c r="AB19" s="14">
        <f>SUMIF(Sheet2!$A:$A,DataSet_BON!A19,Sheet2!$F:$F)</f>
        <v>0</v>
      </c>
      <c r="AC19" s="14">
        <f>SUMIF(Sheet5!$A:$A,DataSet_BON!A19,Sheet5!$F:$F)</f>
        <v>0</v>
      </c>
      <c r="AD19" s="14">
        <f>SUMIF(AVANCES!$A:$A,DataSet_BON!A19,AVANCES!$E:$E)</f>
        <v>0</v>
      </c>
      <c r="AE19" s="14">
        <f>SUMIF(INDEMNITES_PRIMES!$A:$A,DataSet_BON!A19,INDEMNITES_PRIMES!$J:$J)</f>
        <v>165000</v>
      </c>
      <c r="AF19" s="8">
        <f ca="1">IFERROR(INDEX(Sheet1!$M$2:$U$68,MATCH(INDEX(Sheet1!$B$4:$H$15,MATCH(DataSet_BON!I19,Sheet1!$B$4:$B$15,0),MATCH(DataSet_BON!H19,Sheet1!$B$4:$H$4,0)),Sheet1!$M$2:$M$68,0),MATCH(DataSet_BON!K19,Sheet1!$M$2:$U$2,0)),VLOOKUP(INDEX(Sheet1!$B$4:$H$15,MATCH(DataSet_BON!I19,Sheet1!$B$4:$B$15,0),MATCH(DataSet_BON!H19,Sheet1!$B$4:$H$4,0)),Sheet1!$J$3:$L$68,3,FALSE))</f>
        <v>2117.5</v>
      </c>
      <c r="AG19" s="14">
        <f t="shared" ca="1" si="0"/>
        <v>0</v>
      </c>
      <c r="AH19" s="14">
        <f t="shared" ca="1" si="1"/>
        <v>0</v>
      </c>
      <c r="AI19" s="14">
        <f t="shared" ca="1" si="2"/>
        <v>338800</v>
      </c>
      <c r="AJ19" s="14">
        <f t="shared" ca="1" si="3"/>
        <v>338800</v>
      </c>
      <c r="AK19" s="14">
        <f t="shared" ca="1" si="4"/>
        <v>8131.2</v>
      </c>
      <c r="AL19" s="14">
        <f t="shared" ca="1" si="5"/>
        <v>1694</v>
      </c>
      <c r="AM19" s="14">
        <f t="shared" ca="1" si="6"/>
        <v>11858</v>
      </c>
      <c r="AN19" s="14">
        <f t="shared" ca="1" si="7"/>
        <v>5759.6</v>
      </c>
      <c r="AO19" s="14">
        <f t="shared" ca="1" si="8"/>
        <v>18295.2</v>
      </c>
      <c r="AP19" s="14">
        <f t="shared" ca="1" si="9"/>
        <v>88088</v>
      </c>
      <c r="AQ19" s="14">
        <f t="shared" ca="1" si="10"/>
        <v>7792.3999999999987</v>
      </c>
      <c r="AR19" s="14">
        <f t="shared" ca="1" si="11"/>
        <v>8470</v>
      </c>
      <c r="AS19" s="14">
        <f t="shared" ca="1" si="12"/>
        <v>188711.6</v>
      </c>
    </row>
    <row r="20" spans="1:45" x14ac:dyDescent="0.35">
      <c r="A20" s="2" t="s">
        <v>49</v>
      </c>
      <c r="B20" t="s">
        <v>113</v>
      </c>
      <c r="C20" t="s">
        <v>114</v>
      </c>
      <c r="D20" s="3">
        <v>34196</v>
      </c>
      <c r="E20" s="2">
        <f ca="1">DATEDIF(Tableau93[[#This Row],[Date de Naissance]],TODAY(),"y")</f>
        <v>31</v>
      </c>
      <c r="F20" s="2" t="str">
        <f ca="1">IF(AND(Tableau93[[#This Row],[AGE]]&gt;0,Tableau93[[#This Row],[AGE]]&lt;=30),"0-30",IF(AND(Tableau93[[#This Row],[AGE]]&gt;30,Tableau93[[#This Row],[AGE]]&lt;=40),"30-40","&gt;50 ans"))</f>
        <v>30-40</v>
      </c>
      <c r="G20" s="2" t="s">
        <v>15</v>
      </c>
      <c r="H20" s="2" t="s">
        <v>35</v>
      </c>
      <c r="I20" s="3" t="s">
        <v>50</v>
      </c>
      <c r="J20" s="3">
        <v>44414</v>
      </c>
      <c r="K20" s="2">
        <f ca="1">DATEDIF(Tableau93[[#This Row],[Date Embauche]],TODAY(),"y")</f>
        <v>3</v>
      </c>
      <c r="L20"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[2-5[</v>
      </c>
      <c r="M20" s="2">
        <v>2249</v>
      </c>
      <c r="N20" s="8" t="s">
        <v>258</v>
      </c>
      <c r="O20" s="2" t="s">
        <v>203</v>
      </c>
      <c r="P20" s="2">
        <v>1</v>
      </c>
      <c r="Q20" s="8" t="s">
        <v>259</v>
      </c>
      <c r="R20" s="2" t="s">
        <v>260</v>
      </c>
      <c r="S20" s="2" t="s">
        <v>173</v>
      </c>
      <c r="T20" s="2">
        <v>56202</v>
      </c>
      <c r="U20" s="2" t="s">
        <v>174</v>
      </c>
      <c r="V20" s="2" t="s">
        <v>184</v>
      </c>
      <c r="W20" s="2" t="s">
        <v>190</v>
      </c>
      <c r="X20" s="2" t="s">
        <v>261</v>
      </c>
      <c r="Y20" s="3">
        <f>Tableau93[[#This Row],[Date Embauche]]+8000</f>
        <v>52414</v>
      </c>
      <c r="Z20" s="2" t="s">
        <v>14</v>
      </c>
      <c r="AA20" s="3" t="s">
        <v>18</v>
      </c>
      <c r="AB20" s="14">
        <f>SUMIF(Sheet2!$A:$A,DataSet_BON!A20,Sheet2!$F:$F)</f>
        <v>0</v>
      </c>
      <c r="AC20" s="14">
        <f>SUMIF(Sheet5!$A:$A,DataSet_BON!A20,Sheet5!$F:$F)</f>
        <v>0</v>
      </c>
      <c r="AD20" s="14">
        <f>SUMIF(AVANCES!$A:$A,DataSet_BON!A20,AVANCES!$E:$E)</f>
        <v>0</v>
      </c>
      <c r="AE20" s="14">
        <f>SUMIF(INDEMNITES_PRIMES!$A:$A,DataSet_BON!A20,INDEMNITES_PRIMES!$J:$J)</f>
        <v>0</v>
      </c>
      <c r="AF20" s="8">
        <f ca="1">IFERROR(INDEX(Sheet1!$M$2:$U$68,MATCH(INDEX(Sheet1!$B$4:$H$15,MATCH(DataSet_BON!I20,Sheet1!$B$4:$B$15,0),MATCH(DataSet_BON!H20,Sheet1!$B$4:$H$4,0)),Sheet1!$M$2:$M$68,0),MATCH(DataSet_BON!K20,Sheet1!$M$2:$U$2,0)),VLOOKUP(INDEX(Sheet1!$B$4:$H$15,MATCH(DataSet_BON!I20,Sheet1!$B$4:$B$15,0),MATCH(DataSet_BON!H20,Sheet1!$B$4:$H$4,0)),Sheet1!$J$3:$L$68,3,FALSE))</f>
        <v>337.08000000000004</v>
      </c>
      <c r="AG20" s="14">
        <f t="shared" ca="1" si="0"/>
        <v>0</v>
      </c>
      <c r="AH20" s="14">
        <f t="shared" ca="1" si="1"/>
        <v>0</v>
      </c>
      <c r="AI20" s="14">
        <f t="shared" ca="1" si="2"/>
        <v>53932.800000000003</v>
      </c>
      <c r="AJ20" s="14">
        <f t="shared" ca="1" si="3"/>
        <v>53932.800000000003</v>
      </c>
      <c r="AK20" s="14">
        <f t="shared" ca="1" si="4"/>
        <v>1294.3872000000001</v>
      </c>
      <c r="AL20" s="14">
        <f t="shared" ca="1" si="5"/>
        <v>269.66399999999999</v>
      </c>
      <c r="AM20" s="14">
        <f t="shared" ca="1" si="6"/>
        <v>1887.6480000000001</v>
      </c>
      <c r="AN20" s="14">
        <f t="shared" ca="1" si="7"/>
        <v>916.85760000000005</v>
      </c>
      <c r="AO20" s="14">
        <f t="shared" ca="1" si="8"/>
        <v>2912.3712000000005</v>
      </c>
      <c r="AP20" s="14">
        <f t="shared" ca="1" si="9"/>
        <v>14022.528</v>
      </c>
      <c r="AQ20" s="14">
        <f t="shared" ca="1" si="10"/>
        <v>1240.4544000000001</v>
      </c>
      <c r="AR20" s="14">
        <f t="shared" ca="1" si="11"/>
        <v>1348.32</v>
      </c>
      <c r="AS20" s="14">
        <f t="shared" ca="1" si="12"/>
        <v>30040.569600000006</v>
      </c>
    </row>
    <row r="21" spans="1:45" x14ac:dyDescent="0.35">
      <c r="A21" s="2" t="s">
        <v>51</v>
      </c>
      <c r="B21" t="s">
        <v>115</v>
      </c>
      <c r="C21" t="s">
        <v>116</v>
      </c>
      <c r="D21" s="3">
        <v>33404</v>
      </c>
      <c r="E21" s="2">
        <f ca="1">DATEDIF(Tableau93[[#This Row],[Date de Naissance]],TODAY(),"y")</f>
        <v>33</v>
      </c>
      <c r="F21" s="2" t="str">
        <f ca="1">IF(AND(Tableau93[[#This Row],[AGE]]&gt;0,Tableau93[[#This Row],[AGE]]&lt;=30),"0-30",IF(AND(Tableau93[[#This Row],[AGE]]&gt;30,Tableau93[[#This Row],[AGE]]&lt;=40),"30-40","&gt;50 ans"))</f>
        <v>30-40</v>
      </c>
      <c r="G21" s="2" t="s">
        <v>23</v>
      </c>
      <c r="H21" s="2" t="s">
        <v>16</v>
      </c>
      <c r="I21" s="3" t="s">
        <v>52</v>
      </c>
      <c r="J21" s="3">
        <v>44779</v>
      </c>
      <c r="K21" s="2">
        <f ca="1">DATEDIF(Tableau93[[#This Row],[Date Embauche]],TODAY(),"y")</f>
        <v>2</v>
      </c>
      <c r="L21"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[2-5[</v>
      </c>
      <c r="M21" s="2">
        <v>1736</v>
      </c>
      <c r="N21" s="8" t="s">
        <v>262</v>
      </c>
      <c r="O21" s="2" t="s">
        <v>179</v>
      </c>
      <c r="P21" s="2">
        <v>0</v>
      </c>
      <c r="Q21" s="8" t="s">
        <v>263</v>
      </c>
      <c r="R21" s="2" t="s">
        <v>264</v>
      </c>
      <c r="S21" s="2" t="s">
        <v>173</v>
      </c>
      <c r="T21" s="2">
        <v>41387</v>
      </c>
      <c r="U21" s="2" t="s">
        <v>183</v>
      </c>
      <c r="V21" s="2" t="s">
        <v>175</v>
      </c>
      <c r="W21" s="2" t="s">
        <v>190</v>
      </c>
      <c r="X21" s="2" t="s">
        <v>265</v>
      </c>
      <c r="Y21" s="3">
        <f>Tableau93[[#This Row],[Date Embauche]]+8000</f>
        <v>52779</v>
      </c>
      <c r="Z21" s="2" t="s">
        <v>14</v>
      </c>
      <c r="AA21" s="3" t="s">
        <v>18</v>
      </c>
      <c r="AB21" s="14">
        <f>SUMIF(Sheet2!$A:$A,DataSet_BON!A21,Sheet2!$F:$F)</f>
        <v>0</v>
      </c>
      <c r="AC21" s="14">
        <f>SUMIF(Sheet5!$A:$A,DataSet_BON!A21,Sheet5!$F:$F)</f>
        <v>0</v>
      </c>
      <c r="AD21" s="14">
        <f>SUMIF(AVANCES!$A:$A,DataSet_BON!A21,AVANCES!$E:$E)</f>
        <v>0</v>
      </c>
      <c r="AE21" s="14">
        <f>SUMIF(INDEMNITES_PRIMES!$A:$A,DataSet_BON!A21,INDEMNITES_PRIMES!$J:$J)</f>
        <v>0</v>
      </c>
      <c r="AF21" s="8">
        <f ca="1">IFERROR(INDEX(Sheet1!$M$2:$U$68,MATCH(INDEX(Sheet1!$B$4:$H$15,MATCH(DataSet_BON!I21,Sheet1!$B$4:$B$15,0),MATCH(DataSet_BON!H21,Sheet1!$B$4:$H$4,0)),Sheet1!$M$2:$M$68,0),MATCH(DataSet_BON!K21,Sheet1!$M$2:$U$2,0)),VLOOKUP(INDEX(Sheet1!$B$4:$H$15,MATCH(DataSet_BON!I21,Sheet1!$B$4:$B$15,0),MATCH(DataSet_BON!H21,Sheet1!$B$4:$H$4,0)),Sheet1!$J$3:$L$68,3,FALSE))</f>
        <v>837.39</v>
      </c>
      <c r="AG21" s="14">
        <f t="shared" ca="1" si="0"/>
        <v>0</v>
      </c>
      <c r="AH21" s="14">
        <f t="shared" ca="1" si="1"/>
        <v>0</v>
      </c>
      <c r="AI21" s="14">
        <f t="shared" ca="1" si="2"/>
        <v>133982.39999999999</v>
      </c>
      <c r="AJ21" s="14">
        <f t="shared" ca="1" si="3"/>
        <v>133982.39999999999</v>
      </c>
      <c r="AK21" s="14">
        <f t="shared" ca="1" si="4"/>
        <v>3215.5775999999996</v>
      </c>
      <c r="AL21" s="14">
        <f t="shared" ca="1" si="5"/>
        <v>669.91199999999992</v>
      </c>
      <c r="AM21" s="14">
        <f t="shared" ca="1" si="6"/>
        <v>4689.384</v>
      </c>
      <c r="AN21" s="14">
        <f t="shared" ca="1" si="7"/>
        <v>2277.7008000000001</v>
      </c>
      <c r="AO21" s="14">
        <f t="shared" ca="1" si="8"/>
        <v>7235.0495999999994</v>
      </c>
      <c r="AP21" s="14">
        <f t="shared" ca="1" si="9"/>
        <v>34835.423999999999</v>
      </c>
      <c r="AQ21" s="14">
        <f t="shared" ca="1" si="10"/>
        <v>3081.5951999999997</v>
      </c>
      <c r="AR21" s="14">
        <f t="shared" ca="1" si="11"/>
        <v>3349.56</v>
      </c>
      <c r="AS21" s="14">
        <f t="shared" ca="1" si="12"/>
        <v>74628.196799999991</v>
      </c>
    </row>
    <row r="22" spans="1:45" x14ac:dyDescent="0.35">
      <c r="A22" s="2" t="s">
        <v>53</v>
      </c>
      <c r="B22" t="s">
        <v>117</v>
      </c>
      <c r="C22" t="s">
        <v>118</v>
      </c>
      <c r="D22" s="3">
        <v>34914</v>
      </c>
      <c r="E22" s="2">
        <f ca="1">DATEDIF(Tableau93[[#This Row],[Date de Naissance]],TODAY(),"y")</f>
        <v>29</v>
      </c>
      <c r="F22" s="2" t="str">
        <f ca="1">IF(AND(Tableau93[[#This Row],[AGE]]&gt;0,Tableau93[[#This Row],[AGE]]&lt;=30),"0-30",IF(AND(Tableau93[[#This Row],[AGE]]&gt;30,Tableau93[[#This Row],[AGE]]&lt;=40),"30-40","&gt;50 ans"))</f>
        <v>0-30</v>
      </c>
      <c r="G22" s="2" t="s">
        <v>23</v>
      </c>
      <c r="H22" s="2" t="s">
        <v>16</v>
      </c>
      <c r="I22" s="3" t="s">
        <v>54</v>
      </c>
      <c r="J22" s="3">
        <v>44905</v>
      </c>
      <c r="K22" s="2">
        <f ca="1">DATEDIF(Tableau93[[#This Row],[Date Embauche]],TODAY(),"y")</f>
        <v>2</v>
      </c>
      <c r="L22"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[2-5[</v>
      </c>
      <c r="M22" s="2">
        <v>9988</v>
      </c>
      <c r="N22" s="8" t="s">
        <v>266</v>
      </c>
      <c r="O22" s="2" t="s">
        <v>179</v>
      </c>
      <c r="P22" s="2">
        <v>0</v>
      </c>
      <c r="Q22" s="8" t="s">
        <v>267</v>
      </c>
      <c r="R22" s="2" t="s">
        <v>268</v>
      </c>
      <c r="S22" s="2" t="s">
        <v>173</v>
      </c>
      <c r="T22" s="2">
        <v>94599</v>
      </c>
      <c r="U22" s="2" t="s">
        <v>174</v>
      </c>
      <c r="V22" s="2" t="s">
        <v>184</v>
      </c>
      <c r="W22" s="2" t="s">
        <v>185</v>
      </c>
      <c r="X22" s="2" t="s">
        <v>269</v>
      </c>
      <c r="Y22" s="3">
        <f>Tableau93[[#This Row],[Date Embauche]]+8000</f>
        <v>52905</v>
      </c>
      <c r="Z22" s="2" t="s">
        <v>14</v>
      </c>
      <c r="AA22" s="3" t="s">
        <v>18</v>
      </c>
      <c r="AB22" s="14">
        <f>SUMIF(Sheet2!$A:$A,DataSet_BON!A22,Sheet2!$F:$F)</f>
        <v>0</v>
      </c>
      <c r="AC22" s="14">
        <f>SUMIF(Sheet5!$A:$A,DataSet_BON!A22,Sheet5!$F:$F)</f>
        <v>0</v>
      </c>
      <c r="AD22" s="14">
        <f>SUMIF(AVANCES!$A:$A,DataSet_BON!A22,AVANCES!$E:$E)</f>
        <v>0</v>
      </c>
      <c r="AE22" s="14">
        <f>SUMIF(INDEMNITES_PRIMES!$A:$A,DataSet_BON!A22,INDEMNITES_PRIMES!$J:$J)</f>
        <v>0</v>
      </c>
      <c r="AF22" s="8">
        <f ca="1">IFERROR(INDEX(Sheet1!$M$2:$U$68,MATCH(INDEX(Sheet1!$B$4:$H$15,MATCH(DataSet_BON!I22,Sheet1!$B$4:$B$15,0),MATCH(DataSet_BON!H22,Sheet1!$B$4:$H$4,0)),Sheet1!$M$2:$M$68,0),MATCH(DataSet_BON!K22,Sheet1!$M$2:$U$2,0)),VLOOKUP(INDEX(Sheet1!$B$4:$H$15,MATCH(DataSet_BON!I22,Sheet1!$B$4:$B$15,0),MATCH(DataSet_BON!H22,Sheet1!$B$4:$H$4,0)),Sheet1!$J$3:$L$68,3,FALSE))</f>
        <v>908.46</v>
      </c>
      <c r="AG22" s="14">
        <f t="shared" ca="1" si="0"/>
        <v>0</v>
      </c>
      <c r="AH22" s="14">
        <f t="shared" ca="1" si="1"/>
        <v>0</v>
      </c>
      <c r="AI22" s="14">
        <f t="shared" ca="1" si="2"/>
        <v>145353.60000000001</v>
      </c>
      <c r="AJ22" s="14">
        <f t="shared" ca="1" si="3"/>
        <v>145353.60000000001</v>
      </c>
      <c r="AK22" s="14">
        <f t="shared" ca="1" si="4"/>
        <v>3488.4864000000002</v>
      </c>
      <c r="AL22" s="14">
        <f t="shared" ca="1" si="5"/>
        <v>726.76800000000003</v>
      </c>
      <c r="AM22" s="14">
        <f t="shared" ca="1" si="6"/>
        <v>5087.3760000000002</v>
      </c>
      <c r="AN22" s="14">
        <f t="shared" ca="1" si="7"/>
        <v>2471.0111999999999</v>
      </c>
      <c r="AO22" s="14">
        <f t="shared" ca="1" si="8"/>
        <v>7849.0944000000009</v>
      </c>
      <c r="AP22" s="14">
        <f t="shared" ca="1" si="9"/>
        <v>37791.936000000002</v>
      </c>
      <c r="AQ22" s="14">
        <f t="shared" ca="1" si="10"/>
        <v>3343.1327999999999</v>
      </c>
      <c r="AR22" s="14">
        <f t="shared" ca="1" si="11"/>
        <v>3633.84</v>
      </c>
      <c r="AS22" s="14">
        <f t="shared" ca="1" si="12"/>
        <v>80961.955199999997</v>
      </c>
    </row>
    <row r="23" spans="1:45" x14ac:dyDescent="0.35">
      <c r="A23" s="2" t="s">
        <v>55</v>
      </c>
      <c r="B23" t="s">
        <v>119</v>
      </c>
      <c r="C23" t="s">
        <v>120</v>
      </c>
      <c r="D23" s="3">
        <v>34842</v>
      </c>
      <c r="E23" s="2">
        <f ca="1">DATEDIF(Tableau93[[#This Row],[Date de Naissance]],TODAY(),"y")</f>
        <v>30</v>
      </c>
      <c r="F23" s="2" t="str">
        <f ca="1">IF(AND(Tableau93[[#This Row],[AGE]]&gt;0,Tableau93[[#This Row],[AGE]]&lt;=30),"0-30",IF(AND(Tableau93[[#This Row],[AGE]]&gt;30,Tableau93[[#This Row],[AGE]]&lt;=40),"30-40","&gt;50 ans"))</f>
        <v>0-30</v>
      </c>
      <c r="G23" s="2" t="s">
        <v>23</v>
      </c>
      <c r="H23" s="2" t="s">
        <v>32</v>
      </c>
      <c r="I23" s="3" t="s">
        <v>17</v>
      </c>
      <c r="J23" s="3">
        <v>45019</v>
      </c>
      <c r="K23" s="2">
        <f ca="1">DATEDIF(Tableau93[[#This Row],[Date Embauche]],TODAY(),"y")</f>
        <v>2</v>
      </c>
      <c r="L23"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[2-5[</v>
      </c>
      <c r="M23" s="2">
        <v>18143</v>
      </c>
      <c r="N23" s="8" t="s">
        <v>270</v>
      </c>
      <c r="O23" s="2" t="s">
        <v>179</v>
      </c>
      <c r="P23" s="2">
        <v>0</v>
      </c>
      <c r="Q23" s="8" t="s">
        <v>271</v>
      </c>
      <c r="R23" s="2" t="s">
        <v>272</v>
      </c>
      <c r="S23" s="2" t="s">
        <v>195</v>
      </c>
      <c r="T23" s="2">
        <v>76146</v>
      </c>
      <c r="U23" s="2" t="s">
        <v>183</v>
      </c>
      <c r="V23" s="2" t="s">
        <v>175</v>
      </c>
      <c r="W23" s="2" t="s">
        <v>176</v>
      </c>
      <c r="X23" s="2" t="s">
        <v>273</v>
      </c>
      <c r="Y23" s="3">
        <f>Tableau93[[#This Row],[Date Embauche]]+8000</f>
        <v>53019</v>
      </c>
      <c r="Z23" s="2" t="s">
        <v>14</v>
      </c>
      <c r="AA23" s="3" t="s">
        <v>18</v>
      </c>
      <c r="AB23" s="14">
        <f>SUMIF(Sheet2!$A:$A,DataSet_BON!A23,Sheet2!$F:$F)</f>
        <v>0</v>
      </c>
      <c r="AC23" s="14">
        <f>SUMIF(Sheet5!$A:$A,DataSet_BON!A23,Sheet5!$F:$F)</f>
        <v>0</v>
      </c>
      <c r="AD23" s="14">
        <f>SUMIF(AVANCES!$A:$A,DataSet_BON!A23,AVANCES!$E:$E)</f>
        <v>0</v>
      </c>
      <c r="AE23" s="14">
        <f>SUMIF(INDEMNITES_PRIMES!$A:$A,DataSet_BON!A23,INDEMNITES_PRIMES!$J:$J)</f>
        <v>0</v>
      </c>
      <c r="AF23" s="8">
        <f ca="1">IFERROR(INDEX(Sheet1!$M$2:$U$68,MATCH(INDEX(Sheet1!$B$4:$H$15,MATCH(DataSet_BON!I23,Sheet1!$B$4:$B$15,0),MATCH(DataSet_BON!H23,Sheet1!$B$4:$H$4,0)),Sheet1!$M$2:$M$68,0),MATCH(DataSet_BON!K23,Sheet1!$M$2:$U$2,0)),VLOOKUP(INDEX(Sheet1!$B$4:$H$15,MATCH(DataSet_BON!I23,Sheet1!$B$4:$B$15,0),MATCH(DataSet_BON!H23,Sheet1!$B$4:$H$4,0)),Sheet1!$J$3:$L$68,3,FALSE))</f>
        <v>1802.5</v>
      </c>
      <c r="AG23" s="14">
        <f t="shared" ca="1" si="0"/>
        <v>0</v>
      </c>
      <c r="AH23" s="14">
        <f t="shared" ca="1" si="1"/>
        <v>0</v>
      </c>
      <c r="AI23" s="14">
        <f t="shared" ca="1" si="2"/>
        <v>288400</v>
      </c>
      <c r="AJ23" s="14">
        <f t="shared" ca="1" si="3"/>
        <v>288400</v>
      </c>
      <c r="AK23" s="14">
        <f t="shared" ca="1" si="4"/>
        <v>6921.6</v>
      </c>
      <c r="AL23" s="14">
        <f t="shared" ca="1" si="5"/>
        <v>1442</v>
      </c>
      <c r="AM23" s="14">
        <f t="shared" ca="1" si="6"/>
        <v>10094</v>
      </c>
      <c r="AN23" s="14">
        <f t="shared" ca="1" si="7"/>
        <v>4902.8</v>
      </c>
      <c r="AO23" s="14">
        <f t="shared" ca="1" si="8"/>
        <v>15573.6</v>
      </c>
      <c r="AP23" s="14">
        <f t="shared" ca="1" si="9"/>
        <v>74984</v>
      </c>
      <c r="AQ23" s="14">
        <f t="shared" ca="1" si="10"/>
        <v>6633.2</v>
      </c>
      <c r="AR23" s="14">
        <f t="shared" ca="1" si="11"/>
        <v>7210</v>
      </c>
      <c r="AS23" s="14">
        <f t="shared" ca="1" si="12"/>
        <v>160638.80000000002</v>
      </c>
    </row>
    <row r="24" spans="1:45" x14ac:dyDescent="0.35">
      <c r="A24" s="2" t="s">
        <v>56</v>
      </c>
      <c r="B24" t="s">
        <v>121</v>
      </c>
      <c r="C24" t="s">
        <v>122</v>
      </c>
      <c r="D24" s="3">
        <v>32342</v>
      </c>
      <c r="E24" s="2">
        <f ca="1">DATEDIF(Tableau93[[#This Row],[Date de Naissance]],TODAY(),"y")</f>
        <v>36</v>
      </c>
      <c r="F24" s="2" t="str">
        <f ca="1">IF(AND(Tableau93[[#This Row],[AGE]]&gt;0,Tableau93[[#This Row],[AGE]]&lt;=30),"0-30",IF(AND(Tableau93[[#This Row],[AGE]]&gt;30,Tableau93[[#This Row],[AGE]]&lt;=40),"30-40","&gt;50 ans"))</f>
        <v>30-40</v>
      </c>
      <c r="G24" s="2" t="s">
        <v>15</v>
      </c>
      <c r="H24" s="2" t="s">
        <v>32</v>
      </c>
      <c r="I24" s="3" t="s">
        <v>20</v>
      </c>
      <c r="J24" s="3">
        <v>45019</v>
      </c>
      <c r="K24" s="2">
        <f ca="1">DATEDIF(Tableau93[[#This Row],[Date Embauche]],TODAY(),"y")</f>
        <v>2</v>
      </c>
      <c r="L24"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[2-5[</v>
      </c>
      <c r="M24" s="2">
        <v>17536</v>
      </c>
      <c r="N24" s="8" t="s">
        <v>274</v>
      </c>
      <c r="O24" s="2" t="s">
        <v>170</v>
      </c>
      <c r="P24" s="2">
        <v>4</v>
      </c>
      <c r="Q24" s="8" t="s">
        <v>275</v>
      </c>
      <c r="R24" s="2" t="s">
        <v>276</v>
      </c>
      <c r="S24" s="2" t="s">
        <v>277</v>
      </c>
      <c r="T24" s="2">
        <v>93842</v>
      </c>
      <c r="U24" s="2" t="s">
        <v>174</v>
      </c>
      <c r="V24" s="2" t="s">
        <v>175</v>
      </c>
      <c r="W24" s="2" t="s">
        <v>185</v>
      </c>
      <c r="X24" s="2" t="s">
        <v>278</v>
      </c>
      <c r="Y24" s="3">
        <f>Tableau93[[#This Row],[Date Embauche]]+8000</f>
        <v>53019</v>
      </c>
      <c r="Z24" s="2" t="s">
        <v>14</v>
      </c>
      <c r="AA24" s="3" t="s">
        <v>18</v>
      </c>
      <c r="AB24" s="14">
        <f>SUMIF(Sheet2!$A:$A,DataSet_BON!A24,Sheet2!$F:$F)</f>
        <v>0</v>
      </c>
      <c r="AC24" s="14">
        <f>SUMIF(Sheet5!$A:$A,DataSet_BON!A24,Sheet5!$F:$F)</f>
        <v>0</v>
      </c>
      <c r="AD24" s="14">
        <f>SUMIF(AVANCES!$A:$A,DataSet_BON!A24,AVANCES!$E:$E)</f>
        <v>0</v>
      </c>
      <c r="AE24" s="14">
        <f>SUMIF(INDEMNITES_PRIMES!$A:$A,DataSet_BON!A24,INDEMNITES_PRIMES!$J:$J)</f>
        <v>0</v>
      </c>
      <c r="AF24" s="8">
        <f ca="1">IFERROR(INDEX(Sheet1!$M$2:$U$68,MATCH(INDEX(Sheet1!$B$4:$H$15,MATCH(DataSet_BON!I24,Sheet1!$B$4:$B$15,0),MATCH(DataSet_BON!H24,Sheet1!$B$4:$H$4,0)),Sheet1!$M$2:$M$68,0),MATCH(DataSet_BON!K24,Sheet1!$M$2:$U$2,0)),VLOOKUP(INDEX(Sheet1!$B$4:$H$15,MATCH(DataSet_BON!I24,Sheet1!$B$4:$B$15,0),MATCH(DataSet_BON!H24,Sheet1!$B$4:$H$4,0)),Sheet1!$J$3:$L$68,3,FALSE))</f>
        <v>653.02</v>
      </c>
      <c r="AG24" s="14">
        <f t="shared" ca="1" si="0"/>
        <v>0</v>
      </c>
      <c r="AH24" s="14">
        <f t="shared" ca="1" si="1"/>
        <v>0</v>
      </c>
      <c r="AI24" s="14">
        <f t="shared" ca="1" si="2"/>
        <v>104483.2</v>
      </c>
      <c r="AJ24" s="14">
        <f t="shared" ca="1" si="3"/>
        <v>104483.2</v>
      </c>
      <c r="AK24" s="14">
        <f t="shared" ca="1" si="4"/>
        <v>2507.5967999999998</v>
      </c>
      <c r="AL24" s="14">
        <f t="shared" ca="1" si="5"/>
        <v>522.41599999999994</v>
      </c>
      <c r="AM24" s="14">
        <f t="shared" ca="1" si="6"/>
        <v>3656.9120000000003</v>
      </c>
      <c r="AN24" s="14">
        <f t="shared" ca="1" si="7"/>
        <v>1776.2144000000001</v>
      </c>
      <c r="AO24" s="14">
        <f t="shared" ca="1" si="8"/>
        <v>5642.0928000000004</v>
      </c>
      <c r="AP24" s="14">
        <f t="shared" ca="1" si="9"/>
        <v>27165.631999999998</v>
      </c>
      <c r="AQ24" s="14">
        <f t="shared" ca="1" si="10"/>
        <v>2403.1135999999997</v>
      </c>
      <c r="AR24" s="14">
        <f t="shared" ca="1" si="11"/>
        <v>2612.08</v>
      </c>
      <c r="AS24" s="14">
        <f t="shared" ca="1" si="12"/>
        <v>58197.142400000012</v>
      </c>
    </row>
    <row r="25" spans="1:45" x14ac:dyDescent="0.35">
      <c r="A25" s="2" t="s">
        <v>57</v>
      </c>
      <c r="B25" t="s">
        <v>123</v>
      </c>
      <c r="C25" t="s">
        <v>124</v>
      </c>
      <c r="D25" s="3">
        <v>34196</v>
      </c>
      <c r="E25" s="2">
        <f ca="1">DATEDIF(Tableau93[[#This Row],[Date de Naissance]],TODAY(),"y")</f>
        <v>31</v>
      </c>
      <c r="F25" s="2" t="str">
        <f ca="1">IF(AND(Tableau93[[#This Row],[AGE]]&gt;0,Tableau93[[#This Row],[AGE]]&lt;=30),"0-30",IF(AND(Tableau93[[#This Row],[AGE]]&gt;30,Tableau93[[#This Row],[AGE]]&lt;=40),"30-40","&gt;50 ans"))</f>
        <v>30-40</v>
      </c>
      <c r="G25" s="2" t="s">
        <v>15</v>
      </c>
      <c r="H25" s="2" t="s">
        <v>42</v>
      </c>
      <c r="I25" s="3" t="s">
        <v>48</v>
      </c>
      <c r="J25" s="3">
        <v>45052</v>
      </c>
      <c r="K25" s="2">
        <f ca="1">DATEDIF(Tableau93[[#This Row],[Date Embauche]],TODAY(),"y")</f>
        <v>2</v>
      </c>
      <c r="L25"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[2-5[</v>
      </c>
      <c r="M25" s="2">
        <v>4627</v>
      </c>
      <c r="N25" s="8" t="s">
        <v>279</v>
      </c>
      <c r="O25" s="2" t="s">
        <v>179</v>
      </c>
      <c r="P25" s="2">
        <v>0</v>
      </c>
      <c r="Q25" s="8" t="s">
        <v>280</v>
      </c>
      <c r="R25" s="2" t="s">
        <v>281</v>
      </c>
      <c r="S25" s="2" t="s">
        <v>173</v>
      </c>
      <c r="T25" s="2">
        <v>23665</v>
      </c>
      <c r="U25" s="2" t="s">
        <v>174</v>
      </c>
      <c r="V25" s="2" t="s">
        <v>175</v>
      </c>
      <c r="W25" s="2" t="s">
        <v>190</v>
      </c>
      <c r="X25" s="2" t="s">
        <v>282</v>
      </c>
      <c r="Y25" s="3">
        <f>Tableau93[[#This Row],[Date Embauche]]+8000</f>
        <v>53052</v>
      </c>
      <c r="Z25" s="2" t="s">
        <v>14</v>
      </c>
      <c r="AA25" s="3" t="s">
        <v>18</v>
      </c>
      <c r="AB25" s="14">
        <f>SUMIF(Sheet2!$A:$A,DataSet_BON!A25,Sheet2!$F:$F)</f>
        <v>0</v>
      </c>
      <c r="AC25" s="14">
        <f>SUMIF(Sheet5!$A:$A,DataSet_BON!A25,Sheet5!$F:$F)</f>
        <v>0</v>
      </c>
      <c r="AD25" s="14">
        <f>SUMIF(AVANCES!$A:$A,DataSet_BON!A25,AVANCES!$E:$E)</f>
        <v>0</v>
      </c>
      <c r="AE25" s="14">
        <f>SUMIF(INDEMNITES_PRIMES!$A:$A,DataSet_BON!A25,INDEMNITES_PRIMES!$J:$J)</f>
        <v>0</v>
      </c>
      <c r="AF25" s="8">
        <f ca="1">IFERROR(INDEX(Sheet1!$M$2:$U$68,MATCH(INDEX(Sheet1!$B$4:$H$15,MATCH(DataSet_BON!I25,Sheet1!$B$4:$B$15,0),MATCH(DataSet_BON!H25,Sheet1!$B$4:$H$4,0)),Sheet1!$M$2:$M$68,0),MATCH(DataSet_BON!K25,Sheet1!$M$2:$U$2,0)),VLOOKUP(INDEX(Sheet1!$B$4:$H$15,MATCH(DataSet_BON!I25,Sheet1!$B$4:$B$15,0),MATCH(DataSet_BON!H25,Sheet1!$B$4:$H$4,0)),Sheet1!$J$3:$L$68,3,FALSE))</f>
        <v>1802.5</v>
      </c>
      <c r="AG25" s="14">
        <f t="shared" ca="1" si="0"/>
        <v>0</v>
      </c>
      <c r="AH25" s="14">
        <f t="shared" ca="1" si="1"/>
        <v>0</v>
      </c>
      <c r="AI25" s="14">
        <f t="shared" ca="1" si="2"/>
        <v>288400</v>
      </c>
      <c r="AJ25" s="14">
        <f t="shared" ca="1" si="3"/>
        <v>288400</v>
      </c>
      <c r="AK25" s="14">
        <f t="shared" ca="1" si="4"/>
        <v>6921.6</v>
      </c>
      <c r="AL25" s="14">
        <f t="shared" ca="1" si="5"/>
        <v>1442</v>
      </c>
      <c r="AM25" s="14">
        <f t="shared" ca="1" si="6"/>
        <v>10094</v>
      </c>
      <c r="AN25" s="14">
        <f t="shared" ca="1" si="7"/>
        <v>4902.8</v>
      </c>
      <c r="AO25" s="14">
        <f t="shared" ca="1" si="8"/>
        <v>15573.6</v>
      </c>
      <c r="AP25" s="14">
        <f t="shared" ca="1" si="9"/>
        <v>74984</v>
      </c>
      <c r="AQ25" s="14">
        <f t="shared" ca="1" si="10"/>
        <v>6633.2</v>
      </c>
      <c r="AR25" s="14">
        <f t="shared" ca="1" si="11"/>
        <v>7210</v>
      </c>
      <c r="AS25" s="14">
        <f t="shared" ca="1" si="12"/>
        <v>160638.80000000002</v>
      </c>
    </row>
    <row r="26" spans="1:45" x14ac:dyDescent="0.35">
      <c r="A26" s="2" t="s">
        <v>58</v>
      </c>
      <c r="B26" t="s">
        <v>125</v>
      </c>
      <c r="C26" t="s">
        <v>126</v>
      </c>
      <c r="D26" s="3">
        <v>35300</v>
      </c>
      <c r="E26" s="2">
        <f ca="1">DATEDIF(Tableau93[[#This Row],[Date de Naissance]],TODAY(),"y")</f>
        <v>28</v>
      </c>
      <c r="F26" s="2" t="str">
        <f ca="1">IF(AND(Tableau93[[#This Row],[AGE]]&gt;0,Tableau93[[#This Row],[AGE]]&lt;=30),"0-30",IF(AND(Tableau93[[#This Row],[AGE]]&gt;30,Tableau93[[#This Row],[AGE]]&lt;=40),"30-40","&gt;50 ans"))</f>
        <v>0-30</v>
      </c>
      <c r="G26" s="2" t="s">
        <v>15</v>
      </c>
      <c r="H26" s="2" t="s">
        <v>24</v>
      </c>
      <c r="I26" s="3" t="s">
        <v>25</v>
      </c>
      <c r="J26" s="3">
        <v>45082</v>
      </c>
      <c r="K26" s="2">
        <f ca="1">DATEDIF(Tableau93[[#This Row],[Date Embauche]],TODAY(),"y")</f>
        <v>1</v>
      </c>
      <c r="L26"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[0-2[</v>
      </c>
      <c r="M26" s="2">
        <v>6937</v>
      </c>
      <c r="N26" s="8" t="s">
        <v>283</v>
      </c>
      <c r="O26" s="2" t="s">
        <v>179</v>
      </c>
      <c r="P26" s="2">
        <v>0</v>
      </c>
      <c r="Q26" s="8" t="s">
        <v>284</v>
      </c>
      <c r="R26" s="2" t="s">
        <v>285</v>
      </c>
      <c r="S26" s="2" t="s">
        <v>182</v>
      </c>
      <c r="T26" s="2">
        <v>46700</v>
      </c>
      <c r="U26" s="2" t="s">
        <v>174</v>
      </c>
      <c r="V26" s="2" t="s">
        <v>175</v>
      </c>
      <c r="W26" s="2" t="s">
        <v>185</v>
      </c>
      <c r="X26" s="2" t="s">
        <v>286</v>
      </c>
      <c r="Y26" s="3">
        <f>Tableau93[[#This Row],[Date Embauche]]+8000</f>
        <v>53082</v>
      </c>
      <c r="Z26" s="2" t="s">
        <v>22</v>
      </c>
      <c r="AA26" s="3" t="s">
        <v>59</v>
      </c>
      <c r="AB26" s="14">
        <f>SUMIF(Sheet2!$A:$A,DataSet_BON!A26,Sheet2!$F:$F)</f>
        <v>0</v>
      </c>
      <c r="AC26" s="14">
        <f>SUMIF(Sheet5!$A:$A,DataSet_BON!A26,Sheet5!$F:$F)</f>
        <v>0</v>
      </c>
      <c r="AD26" s="14">
        <f>SUMIF(AVANCES!$A:$A,DataSet_BON!A26,AVANCES!$E:$E)</f>
        <v>0</v>
      </c>
      <c r="AE26" s="14">
        <f>SUMIF(INDEMNITES_PRIMES!$A:$A,DataSet_BON!A26,INDEMNITES_PRIMES!$J:$J)</f>
        <v>0</v>
      </c>
      <c r="AF26" s="8">
        <f ca="1">IFERROR(INDEX(Sheet1!$M$2:$U$68,MATCH(INDEX(Sheet1!$B$4:$H$15,MATCH(DataSet_BON!I26,Sheet1!$B$4:$B$15,0),MATCH(DataSet_BON!H26,Sheet1!$B$4:$H$4,0)),Sheet1!$M$2:$M$68,0),MATCH(DataSet_BON!K26,Sheet1!$M$2:$U$2,0)),VLOOKUP(INDEX(Sheet1!$B$4:$H$15,MATCH(DataSet_BON!I26,Sheet1!$B$4:$B$15,0),MATCH(DataSet_BON!H26,Sheet1!$B$4:$H$4,0)),Sheet1!$J$3:$L$68,3,FALSE))</f>
        <v>540.35</v>
      </c>
      <c r="AG26" s="14">
        <f t="shared" ca="1" si="0"/>
        <v>0</v>
      </c>
      <c r="AH26" s="14">
        <f t="shared" ca="1" si="1"/>
        <v>0</v>
      </c>
      <c r="AI26" s="14">
        <f t="shared" ca="1" si="2"/>
        <v>86456</v>
      </c>
      <c r="AJ26" s="14">
        <f t="shared" ca="1" si="3"/>
        <v>86456</v>
      </c>
      <c r="AK26" s="14">
        <f t="shared" ca="1" si="4"/>
        <v>2074.944</v>
      </c>
      <c r="AL26" s="14">
        <f t="shared" ca="1" si="5"/>
        <v>432.28</v>
      </c>
      <c r="AM26" s="14">
        <f t="shared" ca="1" si="6"/>
        <v>3025.96</v>
      </c>
      <c r="AN26" s="14">
        <f t="shared" ca="1" si="7"/>
        <v>1469.7519999999997</v>
      </c>
      <c r="AO26" s="14">
        <f t="shared" ca="1" si="8"/>
        <v>4668.6239999999998</v>
      </c>
      <c r="AP26" s="14">
        <f t="shared" ca="1" si="9"/>
        <v>22478.560000000001</v>
      </c>
      <c r="AQ26" s="14">
        <f t="shared" ca="1" si="10"/>
        <v>1988.4879999999998</v>
      </c>
      <c r="AR26" s="14">
        <f t="shared" ca="1" si="11"/>
        <v>2161.4</v>
      </c>
      <c r="AS26" s="14">
        <f t="shared" ca="1" si="12"/>
        <v>48155.992000000006</v>
      </c>
    </row>
    <row r="27" spans="1:45" x14ac:dyDescent="0.35">
      <c r="A27" s="2" t="s">
        <v>60</v>
      </c>
      <c r="B27" t="s">
        <v>127</v>
      </c>
      <c r="C27" t="s">
        <v>128</v>
      </c>
      <c r="D27" s="3">
        <v>36206</v>
      </c>
      <c r="E27" s="2">
        <f ca="1">DATEDIF(Tableau93[[#This Row],[Date de Naissance]],TODAY(),"y")</f>
        <v>26</v>
      </c>
      <c r="F27" s="2" t="str">
        <f ca="1">IF(AND(Tableau93[[#This Row],[AGE]]&gt;0,Tableau93[[#This Row],[AGE]]&lt;=30),"0-30",IF(AND(Tableau93[[#This Row],[AGE]]&gt;30,Tableau93[[#This Row],[AGE]]&lt;=40),"30-40","&gt;50 ans"))</f>
        <v>0-30</v>
      </c>
      <c r="G27" s="2" t="s">
        <v>23</v>
      </c>
      <c r="H27" s="2" t="s">
        <v>24</v>
      </c>
      <c r="I27" s="3" t="s">
        <v>25</v>
      </c>
      <c r="J27" s="3">
        <v>45082</v>
      </c>
      <c r="K27" s="2">
        <f ca="1">DATEDIF(Tableau93[[#This Row],[Date Embauche]],TODAY(),"y")</f>
        <v>1</v>
      </c>
      <c r="L27"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[0-2[</v>
      </c>
      <c r="M27" s="2">
        <v>14919</v>
      </c>
      <c r="N27" s="8" t="s">
        <v>287</v>
      </c>
      <c r="O27" s="2" t="s">
        <v>179</v>
      </c>
      <c r="P27" s="2">
        <v>0</v>
      </c>
      <c r="Q27" s="8" t="s">
        <v>288</v>
      </c>
      <c r="R27" s="2" t="s">
        <v>289</v>
      </c>
      <c r="S27" s="2" t="s">
        <v>210</v>
      </c>
      <c r="T27" s="2">
        <v>47382</v>
      </c>
      <c r="U27" s="2" t="s">
        <v>183</v>
      </c>
      <c r="V27" s="2" t="s">
        <v>175</v>
      </c>
      <c r="W27" s="2" t="s">
        <v>190</v>
      </c>
      <c r="X27" s="2" t="s">
        <v>290</v>
      </c>
      <c r="Y27" s="3">
        <f>Tableau93[[#This Row],[Date Embauche]]+8000</f>
        <v>53082</v>
      </c>
      <c r="Z27" s="2" t="s">
        <v>22</v>
      </c>
      <c r="AA27" s="3" t="s">
        <v>59</v>
      </c>
      <c r="AB27" s="14">
        <f>SUMIF(Sheet2!$A:$A,DataSet_BON!A27,Sheet2!$F:$F)</f>
        <v>0</v>
      </c>
      <c r="AC27" s="14">
        <f>SUMIF(Sheet5!$A:$A,DataSet_BON!A27,Sheet5!$F:$F)</f>
        <v>0</v>
      </c>
      <c r="AD27" s="14">
        <f>SUMIF(AVANCES!$A:$A,DataSet_BON!A27,AVANCES!$E:$E)</f>
        <v>0</v>
      </c>
      <c r="AE27" s="14">
        <f>SUMIF(INDEMNITES_PRIMES!$A:$A,DataSet_BON!A27,INDEMNITES_PRIMES!$J:$J)</f>
        <v>0</v>
      </c>
      <c r="AF27" s="8">
        <f ca="1">IFERROR(INDEX(Sheet1!$M$2:$U$68,MATCH(INDEX(Sheet1!$B$4:$H$15,MATCH(DataSet_BON!I27,Sheet1!$B$4:$B$15,0),MATCH(DataSet_BON!H27,Sheet1!$B$4:$H$4,0)),Sheet1!$M$2:$M$68,0),MATCH(DataSet_BON!K27,Sheet1!$M$2:$U$2,0)),VLOOKUP(INDEX(Sheet1!$B$4:$H$15,MATCH(DataSet_BON!I27,Sheet1!$B$4:$B$15,0),MATCH(DataSet_BON!H27,Sheet1!$B$4:$H$4,0)),Sheet1!$J$3:$L$68,3,FALSE))</f>
        <v>540.35</v>
      </c>
      <c r="AG27" s="14">
        <f t="shared" ca="1" si="0"/>
        <v>0</v>
      </c>
      <c r="AH27" s="14">
        <f t="shared" ca="1" si="1"/>
        <v>0</v>
      </c>
      <c r="AI27" s="14">
        <f t="shared" ca="1" si="2"/>
        <v>86456</v>
      </c>
      <c r="AJ27" s="14">
        <f t="shared" ca="1" si="3"/>
        <v>86456</v>
      </c>
      <c r="AK27" s="14">
        <f t="shared" ca="1" si="4"/>
        <v>2074.944</v>
      </c>
      <c r="AL27" s="14">
        <f t="shared" ca="1" si="5"/>
        <v>432.28</v>
      </c>
      <c r="AM27" s="14">
        <f t="shared" ca="1" si="6"/>
        <v>3025.96</v>
      </c>
      <c r="AN27" s="14">
        <f t="shared" ca="1" si="7"/>
        <v>1469.7519999999997</v>
      </c>
      <c r="AO27" s="14">
        <f t="shared" ca="1" si="8"/>
        <v>4668.6239999999998</v>
      </c>
      <c r="AP27" s="14">
        <f t="shared" ca="1" si="9"/>
        <v>22478.560000000001</v>
      </c>
      <c r="AQ27" s="14">
        <f t="shared" ca="1" si="10"/>
        <v>1988.4879999999998</v>
      </c>
      <c r="AR27" s="14">
        <f t="shared" ca="1" si="11"/>
        <v>2161.4</v>
      </c>
      <c r="AS27" s="14">
        <f t="shared" ca="1" si="12"/>
        <v>48155.992000000006</v>
      </c>
    </row>
    <row r="28" spans="1:45" x14ac:dyDescent="0.35">
      <c r="A28" s="2" t="s">
        <v>61</v>
      </c>
      <c r="B28" t="s">
        <v>129</v>
      </c>
      <c r="C28" t="s">
        <v>130</v>
      </c>
      <c r="D28" s="3">
        <v>32743</v>
      </c>
      <c r="E28" s="2">
        <f ca="1">DATEDIF(Tableau93[[#This Row],[Date de Naissance]],TODAY(),"y")</f>
        <v>35</v>
      </c>
      <c r="F28" s="2" t="str">
        <f ca="1">IF(AND(Tableau93[[#This Row],[AGE]]&gt;0,Tableau93[[#This Row],[AGE]]&lt;=30),"0-30",IF(AND(Tableau93[[#This Row],[AGE]]&gt;30,Tableau93[[#This Row],[AGE]]&lt;=40),"30-40","&gt;50 ans"))</f>
        <v>30-40</v>
      </c>
      <c r="G28" s="2" t="s">
        <v>23</v>
      </c>
      <c r="H28" s="2" t="s">
        <v>24</v>
      </c>
      <c r="I28" s="3" t="s">
        <v>25</v>
      </c>
      <c r="J28" s="3">
        <v>45082</v>
      </c>
      <c r="K28" s="2">
        <f ca="1">DATEDIF(Tableau93[[#This Row],[Date Embauche]],TODAY(),"y")</f>
        <v>1</v>
      </c>
      <c r="L28"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[0-2[</v>
      </c>
      <c r="M28" s="2">
        <v>10079</v>
      </c>
      <c r="N28" s="8" t="s">
        <v>291</v>
      </c>
      <c r="O28" s="2" t="s">
        <v>203</v>
      </c>
      <c r="P28" s="2">
        <v>3</v>
      </c>
      <c r="Q28" s="8" t="s">
        <v>292</v>
      </c>
      <c r="R28" s="2" t="s">
        <v>293</v>
      </c>
      <c r="S28" s="2" t="s">
        <v>200</v>
      </c>
      <c r="T28" s="2">
        <v>29634</v>
      </c>
      <c r="U28" s="2" t="s">
        <v>174</v>
      </c>
      <c r="V28" s="2" t="s">
        <v>184</v>
      </c>
      <c r="W28" s="2" t="s">
        <v>190</v>
      </c>
      <c r="X28" s="2" t="s">
        <v>294</v>
      </c>
      <c r="Y28" s="3">
        <f>Tableau93[[#This Row],[Date Embauche]]+8000</f>
        <v>53082</v>
      </c>
      <c r="Z28" s="2" t="s">
        <v>22</v>
      </c>
      <c r="AA28" s="3" t="s">
        <v>62</v>
      </c>
      <c r="AB28" s="14">
        <f>SUMIF(Sheet2!$A:$A,DataSet_BON!A28,Sheet2!$F:$F)</f>
        <v>0</v>
      </c>
      <c r="AC28" s="14">
        <f>SUMIF(Sheet5!$A:$A,DataSet_BON!A28,Sheet5!$F:$F)</f>
        <v>0</v>
      </c>
      <c r="AD28" s="14">
        <f>SUMIF(AVANCES!$A:$A,DataSet_BON!A28,AVANCES!$E:$E)</f>
        <v>0</v>
      </c>
      <c r="AE28" s="14">
        <f>SUMIF(INDEMNITES_PRIMES!$A:$A,DataSet_BON!A28,INDEMNITES_PRIMES!$J:$J)</f>
        <v>65000</v>
      </c>
      <c r="AF28" s="8">
        <f ca="1">IFERROR(INDEX(Sheet1!$M$2:$U$68,MATCH(INDEX(Sheet1!$B$4:$H$15,MATCH(DataSet_BON!I28,Sheet1!$B$4:$B$15,0),MATCH(DataSet_BON!H28,Sheet1!$B$4:$H$4,0)),Sheet1!$M$2:$M$68,0),MATCH(DataSet_BON!K28,Sheet1!$M$2:$U$2,0)),VLOOKUP(INDEX(Sheet1!$B$4:$H$15,MATCH(DataSet_BON!I28,Sheet1!$B$4:$B$15,0),MATCH(DataSet_BON!H28,Sheet1!$B$4:$H$4,0)),Sheet1!$J$3:$L$68,3,FALSE))</f>
        <v>540.35</v>
      </c>
      <c r="AG28" s="14">
        <f t="shared" ca="1" si="0"/>
        <v>0</v>
      </c>
      <c r="AH28" s="14">
        <f t="shared" ca="1" si="1"/>
        <v>0</v>
      </c>
      <c r="AI28" s="14">
        <f t="shared" ca="1" si="2"/>
        <v>86456</v>
      </c>
      <c r="AJ28" s="14">
        <f t="shared" ca="1" si="3"/>
        <v>86456</v>
      </c>
      <c r="AK28" s="14">
        <f t="shared" ca="1" si="4"/>
        <v>2074.944</v>
      </c>
      <c r="AL28" s="14">
        <f t="shared" ca="1" si="5"/>
        <v>432.28</v>
      </c>
      <c r="AM28" s="14">
        <f t="shared" ca="1" si="6"/>
        <v>3025.96</v>
      </c>
      <c r="AN28" s="14">
        <f t="shared" ca="1" si="7"/>
        <v>1469.7519999999997</v>
      </c>
      <c r="AO28" s="14">
        <f t="shared" ca="1" si="8"/>
        <v>4668.6239999999998</v>
      </c>
      <c r="AP28" s="14">
        <f t="shared" ca="1" si="9"/>
        <v>22478.560000000001</v>
      </c>
      <c r="AQ28" s="14">
        <f t="shared" ca="1" si="10"/>
        <v>1988.4879999999998</v>
      </c>
      <c r="AR28" s="14">
        <f t="shared" ca="1" si="11"/>
        <v>2161.4</v>
      </c>
      <c r="AS28" s="14">
        <f t="shared" ca="1" si="12"/>
        <v>48155.992000000006</v>
      </c>
    </row>
    <row r="29" spans="1:45" x14ac:dyDescent="0.35">
      <c r="A29" s="2" t="s">
        <v>63</v>
      </c>
      <c r="B29" t="s">
        <v>131</v>
      </c>
      <c r="C29" t="s">
        <v>132</v>
      </c>
      <c r="D29" s="3">
        <v>34196</v>
      </c>
      <c r="E29" s="2">
        <f ca="1">DATEDIF(Tableau93[[#This Row],[Date de Naissance]],TODAY(),"y")</f>
        <v>31</v>
      </c>
      <c r="F29" s="2" t="str">
        <f ca="1">IF(AND(Tableau93[[#This Row],[AGE]]&gt;0,Tableau93[[#This Row],[AGE]]&lt;=30),"0-30",IF(AND(Tableau93[[#This Row],[AGE]]&gt;30,Tableau93[[#This Row],[AGE]]&lt;=40),"30-40","&gt;50 ans"))</f>
        <v>30-40</v>
      </c>
      <c r="G29" s="2" t="s">
        <v>15</v>
      </c>
      <c r="H29" s="2" t="s">
        <v>24</v>
      </c>
      <c r="I29" s="3" t="s">
        <v>25</v>
      </c>
      <c r="J29" s="3">
        <v>45082</v>
      </c>
      <c r="K29" s="2">
        <f ca="1">DATEDIF(Tableau93[[#This Row],[Date Embauche]],TODAY(),"y")</f>
        <v>1</v>
      </c>
      <c r="L29"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[0-2[</v>
      </c>
      <c r="M29" s="2">
        <v>16108</v>
      </c>
      <c r="N29" s="8" t="s">
        <v>295</v>
      </c>
      <c r="O29" s="2" t="s">
        <v>203</v>
      </c>
      <c r="P29" s="2">
        <v>4</v>
      </c>
      <c r="Q29" s="8" t="s">
        <v>296</v>
      </c>
      <c r="R29" s="2" t="s">
        <v>297</v>
      </c>
      <c r="S29" s="2" t="s">
        <v>173</v>
      </c>
      <c r="T29" s="2">
        <v>27500</v>
      </c>
      <c r="U29" s="2" t="s">
        <v>174</v>
      </c>
      <c r="V29" s="2" t="s">
        <v>175</v>
      </c>
      <c r="W29" s="2" t="s">
        <v>190</v>
      </c>
      <c r="X29" s="2" t="s">
        <v>298</v>
      </c>
      <c r="Y29" s="3">
        <f>Tableau93[[#This Row],[Date Embauche]]+8000</f>
        <v>53082</v>
      </c>
      <c r="Z29" s="2" t="s">
        <v>22</v>
      </c>
      <c r="AA29" s="3" t="s">
        <v>62</v>
      </c>
      <c r="AB29" s="14">
        <f>SUMIF(Sheet2!$A:$A,DataSet_BON!A29,Sheet2!$F:$F)</f>
        <v>0</v>
      </c>
      <c r="AC29" s="14">
        <f>SUMIF(Sheet5!$A:$A,DataSet_BON!A29,Sheet5!$F:$F)</f>
        <v>0</v>
      </c>
      <c r="AD29" s="14">
        <f>SUMIF(AVANCES!$A:$A,DataSet_BON!A29,AVANCES!$E:$E)</f>
        <v>0</v>
      </c>
      <c r="AE29" s="14">
        <f>SUMIF(INDEMNITES_PRIMES!$A:$A,DataSet_BON!A29,INDEMNITES_PRIMES!$J:$J)</f>
        <v>0</v>
      </c>
      <c r="AF29" s="8">
        <f ca="1">IFERROR(INDEX(Sheet1!$M$2:$U$68,MATCH(INDEX(Sheet1!$B$4:$H$15,MATCH(DataSet_BON!I29,Sheet1!$B$4:$B$15,0),MATCH(DataSet_BON!H29,Sheet1!$B$4:$H$4,0)),Sheet1!$M$2:$M$68,0),MATCH(DataSet_BON!K29,Sheet1!$M$2:$U$2,0)),VLOOKUP(INDEX(Sheet1!$B$4:$H$15,MATCH(DataSet_BON!I29,Sheet1!$B$4:$B$15,0),MATCH(DataSet_BON!H29,Sheet1!$B$4:$H$4,0)),Sheet1!$J$3:$L$68,3,FALSE))</f>
        <v>540.35</v>
      </c>
      <c r="AG29" s="14">
        <f t="shared" ca="1" si="0"/>
        <v>0</v>
      </c>
      <c r="AH29" s="14">
        <f t="shared" ca="1" si="1"/>
        <v>0</v>
      </c>
      <c r="AI29" s="14">
        <f t="shared" ca="1" si="2"/>
        <v>86456</v>
      </c>
      <c r="AJ29" s="14">
        <f t="shared" ca="1" si="3"/>
        <v>86456</v>
      </c>
      <c r="AK29" s="14">
        <f t="shared" ca="1" si="4"/>
        <v>2074.944</v>
      </c>
      <c r="AL29" s="14">
        <f t="shared" ca="1" si="5"/>
        <v>432.28</v>
      </c>
      <c r="AM29" s="14">
        <f t="shared" ca="1" si="6"/>
        <v>3025.96</v>
      </c>
      <c r="AN29" s="14">
        <f t="shared" ca="1" si="7"/>
        <v>1469.7519999999997</v>
      </c>
      <c r="AO29" s="14">
        <f t="shared" ca="1" si="8"/>
        <v>4668.6239999999998</v>
      </c>
      <c r="AP29" s="14">
        <f t="shared" ca="1" si="9"/>
        <v>22478.560000000001</v>
      </c>
      <c r="AQ29" s="14">
        <f t="shared" ca="1" si="10"/>
        <v>1988.4879999999998</v>
      </c>
      <c r="AR29" s="14">
        <f t="shared" ca="1" si="11"/>
        <v>2161.4</v>
      </c>
      <c r="AS29" s="14">
        <f t="shared" ca="1" si="12"/>
        <v>48155.992000000006</v>
      </c>
    </row>
    <row r="30" spans="1:45" x14ac:dyDescent="0.35">
      <c r="A30" s="2" t="s">
        <v>64</v>
      </c>
      <c r="B30" t="s">
        <v>133</v>
      </c>
      <c r="C30" t="s">
        <v>134</v>
      </c>
      <c r="D30" s="3">
        <v>33404</v>
      </c>
      <c r="E30" s="2">
        <f ca="1">DATEDIF(Tableau93[[#This Row],[Date de Naissance]],TODAY(),"y")</f>
        <v>33</v>
      </c>
      <c r="F30" s="2" t="str">
        <f ca="1">IF(AND(Tableau93[[#This Row],[AGE]]&gt;0,Tableau93[[#This Row],[AGE]]&lt;=30),"0-30",IF(AND(Tableau93[[#This Row],[AGE]]&gt;30,Tableau93[[#This Row],[AGE]]&lt;=40),"30-40","&gt;50 ans"))</f>
        <v>30-40</v>
      </c>
      <c r="G30" s="2" t="s">
        <v>15</v>
      </c>
      <c r="H30" s="2" t="s">
        <v>16</v>
      </c>
      <c r="I30" s="3" t="s">
        <v>25</v>
      </c>
      <c r="J30" s="3">
        <v>43466</v>
      </c>
      <c r="K30" s="2">
        <f ca="1">DATEDIF(Tableau93[[#This Row],[Date Embauche]],TODAY(),"y")</f>
        <v>6</v>
      </c>
      <c r="L30"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[5;12[</v>
      </c>
      <c r="M30" s="2">
        <v>1764</v>
      </c>
      <c r="N30" s="8" t="s">
        <v>299</v>
      </c>
      <c r="O30" s="2" t="s">
        <v>203</v>
      </c>
      <c r="P30" s="2">
        <v>4</v>
      </c>
      <c r="Q30" s="8" t="s">
        <v>300</v>
      </c>
      <c r="R30" s="2" t="s">
        <v>301</v>
      </c>
      <c r="S30" s="2" t="s">
        <v>302</v>
      </c>
      <c r="T30" s="2">
        <v>94807</v>
      </c>
      <c r="U30" s="2" t="s">
        <v>183</v>
      </c>
      <c r="V30" s="2" t="s">
        <v>175</v>
      </c>
      <c r="W30" s="2" t="s">
        <v>185</v>
      </c>
      <c r="X30" s="2" t="s">
        <v>303</v>
      </c>
      <c r="Y30" s="3">
        <f>Tableau93[[#This Row],[Date Embauche]]+8000</f>
        <v>51466</v>
      </c>
      <c r="Z30" s="2" t="s">
        <v>14</v>
      </c>
      <c r="AA30" s="3" t="s">
        <v>18</v>
      </c>
      <c r="AB30" s="14">
        <f>SUMIF(Sheet2!$A:$A,DataSet_BON!A30,Sheet2!$F:$F)</f>
        <v>0</v>
      </c>
      <c r="AC30" s="14">
        <f>SUMIF(Sheet5!$A:$A,DataSet_BON!A30,Sheet5!$F:$F)</f>
        <v>0</v>
      </c>
      <c r="AD30" s="14">
        <f>SUMIF(AVANCES!$A:$A,DataSet_BON!A30,AVANCES!$E:$E)</f>
        <v>0</v>
      </c>
      <c r="AE30" s="14">
        <f>SUMIF(INDEMNITES_PRIMES!$A:$A,DataSet_BON!A30,INDEMNITES_PRIMES!$J:$J)</f>
        <v>0</v>
      </c>
      <c r="AF30" s="8">
        <f ca="1">IFERROR(INDEX(Sheet1!$M$2:$U$68,MATCH(INDEX(Sheet1!$B$4:$H$15,MATCH(DataSet_BON!I30,Sheet1!$B$4:$B$15,0),MATCH(DataSet_BON!H30,Sheet1!$B$4:$H$4,0)),Sheet1!$M$2:$M$68,0),MATCH(DataSet_BON!K30,Sheet1!$M$2:$U$2,0)),VLOOKUP(INDEX(Sheet1!$B$4:$H$15,MATCH(DataSet_BON!I30,Sheet1!$B$4:$B$15,0),MATCH(DataSet_BON!H30,Sheet1!$B$4:$H$4,0)),Sheet1!$J$3:$L$68,3,FALSE))</f>
        <v>1487.09</v>
      </c>
      <c r="AG30" s="14">
        <f t="shared" ca="1" si="0"/>
        <v>0</v>
      </c>
      <c r="AH30" s="14">
        <f t="shared" ca="1" si="1"/>
        <v>0</v>
      </c>
      <c r="AI30" s="14">
        <f t="shared" ca="1" si="2"/>
        <v>237934.4</v>
      </c>
      <c r="AJ30" s="14">
        <f t="shared" ca="1" si="3"/>
        <v>237934.4</v>
      </c>
      <c r="AK30" s="14">
        <f t="shared" ca="1" si="4"/>
        <v>5710.4255999999996</v>
      </c>
      <c r="AL30" s="14">
        <f t="shared" ca="1" si="5"/>
        <v>1189.672</v>
      </c>
      <c r="AM30" s="14">
        <f t="shared" ca="1" si="6"/>
        <v>8327.7039999999997</v>
      </c>
      <c r="AN30" s="14">
        <f t="shared" ca="1" si="7"/>
        <v>4044.8847999999998</v>
      </c>
      <c r="AO30" s="14">
        <f t="shared" ca="1" si="8"/>
        <v>12848.4576</v>
      </c>
      <c r="AP30" s="14">
        <f t="shared" ca="1" si="9"/>
        <v>61862.943999999996</v>
      </c>
      <c r="AQ30" s="14">
        <f t="shared" ca="1" si="10"/>
        <v>5472.4912000000004</v>
      </c>
      <c r="AR30" s="14">
        <f t="shared" ca="1" si="11"/>
        <v>5948.36</v>
      </c>
      <c r="AS30" s="14">
        <f t="shared" ca="1" si="12"/>
        <v>132529.46080000006</v>
      </c>
    </row>
    <row r="31" spans="1:45" x14ac:dyDescent="0.35">
      <c r="A31" s="2" t="s">
        <v>65</v>
      </c>
      <c r="B31" t="s">
        <v>135</v>
      </c>
      <c r="C31" t="s">
        <v>136</v>
      </c>
      <c r="D31" s="3">
        <v>34914</v>
      </c>
      <c r="E31" s="2">
        <f ca="1">DATEDIF(Tableau93[[#This Row],[Date de Naissance]],TODAY(),"y")</f>
        <v>29</v>
      </c>
      <c r="F31" s="2" t="str">
        <f ca="1">IF(AND(Tableau93[[#This Row],[AGE]]&gt;0,Tableau93[[#This Row],[AGE]]&lt;=30),"0-30",IF(AND(Tableau93[[#This Row],[AGE]]&gt;30,Tableau93[[#This Row],[AGE]]&lt;=40),"30-40","&gt;50 ans"))</f>
        <v>0-30</v>
      </c>
      <c r="G31" s="2" t="s">
        <v>23</v>
      </c>
      <c r="H31" s="2" t="s">
        <v>35</v>
      </c>
      <c r="I31" s="3" t="s">
        <v>40</v>
      </c>
      <c r="J31" s="3">
        <v>44988</v>
      </c>
      <c r="K31" s="2">
        <f ca="1">DATEDIF(Tableau93[[#This Row],[Date Embauche]],TODAY(),"y")</f>
        <v>2</v>
      </c>
      <c r="L31"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[2-5[</v>
      </c>
      <c r="M31" s="2">
        <v>15629</v>
      </c>
      <c r="N31" s="8" t="s">
        <v>304</v>
      </c>
      <c r="O31" s="2" t="s">
        <v>203</v>
      </c>
      <c r="P31" s="2">
        <v>2</v>
      </c>
      <c r="Q31" s="8" t="s">
        <v>305</v>
      </c>
      <c r="R31" s="2" t="s">
        <v>306</v>
      </c>
      <c r="S31" s="2" t="s">
        <v>224</v>
      </c>
      <c r="T31" s="2">
        <v>50575</v>
      </c>
      <c r="U31" s="2" t="s">
        <v>174</v>
      </c>
      <c r="V31" s="2" t="s">
        <v>175</v>
      </c>
      <c r="W31" s="2" t="s">
        <v>190</v>
      </c>
      <c r="X31" s="2" t="s">
        <v>307</v>
      </c>
      <c r="Y31" s="3">
        <f>Tableau93[[#This Row],[Date Embauche]]+8000</f>
        <v>52988</v>
      </c>
      <c r="Z31" s="2" t="s">
        <v>14</v>
      </c>
      <c r="AA31" s="3" t="s">
        <v>18</v>
      </c>
      <c r="AB31" s="14">
        <f>SUMIF(Sheet2!$A:$A,DataSet_BON!A31,Sheet2!$F:$F)</f>
        <v>0</v>
      </c>
      <c r="AC31" s="14">
        <f>SUMIF(Sheet5!$A:$A,DataSet_BON!A31,Sheet5!$F:$F)</f>
        <v>0</v>
      </c>
      <c r="AD31" s="14">
        <f>SUMIF(AVANCES!$A:$A,DataSet_BON!A31,AVANCES!$E:$E)</f>
        <v>0</v>
      </c>
      <c r="AE31" s="14">
        <f>SUMIF(INDEMNITES_PRIMES!$A:$A,DataSet_BON!A31,INDEMNITES_PRIMES!$J:$J)</f>
        <v>0</v>
      </c>
      <c r="AF31" s="8">
        <f ca="1">IFERROR(INDEX(Sheet1!$M$2:$U$68,MATCH(INDEX(Sheet1!$B$4:$H$15,MATCH(DataSet_BON!I31,Sheet1!$B$4:$B$15,0),MATCH(DataSet_BON!H31,Sheet1!$B$4:$H$4,0)),Sheet1!$M$2:$M$68,0),MATCH(DataSet_BON!K31,Sheet1!$M$2:$U$2,0)),VLOOKUP(INDEX(Sheet1!$B$4:$H$15,MATCH(DataSet_BON!I31,Sheet1!$B$4:$B$15,0),MATCH(DataSet_BON!H31,Sheet1!$B$4:$H$4,0)),Sheet1!$J$3:$L$68,3,FALSE))</f>
        <v>290.45999999999998</v>
      </c>
      <c r="AG31" s="14">
        <f t="shared" ca="1" si="0"/>
        <v>0</v>
      </c>
      <c r="AH31" s="14">
        <f t="shared" ca="1" si="1"/>
        <v>0</v>
      </c>
      <c r="AI31" s="14">
        <f t="shared" ca="1" si="2"/>
        <v>46473.599999999999</v>
      </c>
      <c r="AJ31" s="14">
        <f t="shared" ca="1" si="3"/>
        <v>46473.599999999999</v>
      </c>
      <c r="AK31" s="14">
        <f t="shared" ca="1" si="4"/>
        <v>1115.3663999999999</v>
      </c>
      <c r="AL31" s="14">
        <f t="shared" ca="1" si="5"/>
        <v>232.36799999999999</v>
      </c>
      <c r="AM31" s="14">
        <f t="shared" ca="1" si="6"/>
        <v>1626.576</v>
      </c>
      <c r="AN31" s="14">
        <f t="shared" ca="1" si="7"/>
        <v>790.05119999999999</v>
      </c>
      <c r="AO31" s="14">
        <f t="shared" ca="1" si="8"/>
        <v>2509.5744</v>
      </c>
      <c r="AP31" s="14">
        <f t="shared" ca="1" si="9"/>
        <v>12083.135999999999</v>
      </c>
      <c r="AQ31" s="14">
        <f t="shared" ca="1" si="10"/>
        <v>1068.8927999999999</v>
      </c>
      <c r="AR31" s="14">
        <f t="shared" ca="1" si="11"/>
        <v>1161.8399999999999</v>
      </c>
      <c r="AS31" s="14">
        <f t="shared" ca="1" si="12"/>
        <v>25885.795199999997</v>
      </c>
    </row>
    <row r="32" spans="1:45" x14ac:dyDescent="0.35">
      <c r="A32" s="2" t="s">
        <v>66</v>
      </c>
      <c r="B32" t="s">
        <v>137</v>
      </c>
      <c r="C32" t="s">
        <v>138</v>
      </c>
      <c r="D32" s="3">
        <v>34842</v>
      </c>
      <c r="E32" s="2">
        <f ca="1">DATEDIF(Tableau93[[#This Row],[Date de Naissance]],TODAY(),"y")</f>
        <v>30</v>
      </c>
      <c r="F32" s="2" t="str">
        <f ca="1">IF(AND(Tableau93[[#This Row],[AGE]]&gt;0,Tableau93[[#This Row],[AGE]]&lt;=30),"0-30",IF(AND(Tableau93[[#This Row],[AGE]]&gt;30,Tableau93[[#This Row],[AGE]]&lt;=40),"30-40","&gt;50 ans"))</f>
        <v>0-30</v>
      </c>
      <c r="G32" s="2" t="s">
        <v>15</v>
      </c>
      <c r="H32" s="2" t="s">
        <v>35</v>
      </c>
      <c r="I32" s="3" t="s">
        <v>40</v>
      </c>
      <c r="J32" s="3">
        <v>44988</v>
      </c>
      <c r="K32" s="2">
        <f ca="1">DATEDIF(Tableau93[[#This Row],[Date Embauche]],TODAY(),"y")</f>
        <v>2</v>
      </c>
      <c r="L32"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[2-5[</v>
      </c>
      <c r="M32" s="2">
        <v>5962</v>
      </c>
      <c r="N32" s="8" t="s">
        <v>308</v>
      </c>
      <c r="O32" s="2" t="s">
        <v>179</v>
      </c>
      <c r="P32" s="2">
        <v>0</v>
      </c>
      <c r="Q32" s="8" t="s">
        <v>309</v>
      </c>
      <c r="R32" s="2" t="s">
        <v>310</v>
      </c>
      <c r="S32" s="2" t="s">
        <v>173</v>
      </c>
      <c r="T32" s="2">
        <v>75874</v>
      </c>
      <c r="U32" s="2" t="s">
        <v>174</v>
      </c>
      <c r="V32" s="2" t="s">
        <v>175</v>
      </c>
      <c r="W32" s="2" t="s">
        <v>176</v>
      </c>
      <c r="X32" s="2" t="s">
        <v>311</v>
      </c>
      <c r="Y32" s="3">
        <f>Tableau93[[#This Row],[Date Embauche]]+8000</f>
        <v>52988</v>
      </c>
      <c r="Z32" s="2" t="s">
        <v>14</v>
      </c>
      <c r="AA32" s="3" t="s">
        <v>18</v>
      </c>
      <c r="AB32" s="14">
        <f>SUMIF(Sheet2!$A:$A,DataSet_BON!A32,Sheet2!$F:$F)</f>
        <v>0</v>
      </c>
      <c r="AC32" s="14">
        <f>SUMIF(Sheet5!$A:$A,DataSet_BON!A32,Sheet5!$F:$F)</f>
        <v>0</v>
      </c>
      <c r="AD32" s="14">
        <f>SUMIF(AVANCES!$A:$A,DataSet_BON!A32,AVANCES!$E:$E)</f>
        <v>0</v>
      </c>
      <c r="AE32" s="14">
        <f>SUMIF(INDEMNITES_PRIMES!$A:$A,DataSet_BON!A32,INDEMNITES_PRIMES!$J:$J)</f>
        <v>0</v>
      </c>
      <c r="AF32" s="8">
        <f ca="1">IFERROR(INDEX(Sheet1!$M$2:$U$68,MATCH(INDEX(Sheet1!$B$4:$H$15,MATCH(DataSet_BON!I32,Sheet1!$B$4:$B$15,0),MATCH(DataSet_BON!H32,Sheet1!$B$4:$H$4,0)),Sheet1!$M$2:$M$68,0),MATCH(DataSet_BON!K32,Sheet1!$M$2:$U$2,0)),VLOOKUP(INDEX(Sheet1!$B$4:$H$15,MATCH(DataSet_BON!I32,Sheet1!$B$4:$B$15,0),MATCH(DataSet_BON!H32,Sheet1!$B$4:$H$4,0)),Sheet1!$J$3:$L$68,3,FALSE))</f>
        <v>290.45999999999998</v>
      </c>
      <c r="AG32" s="14">
        <f t="shared" ca="1" si="0"/>
        <v>0</v>
      </c>
      <c r="AH32" s="14">
        <f t="shared" ca="1" si="1"/>
        <v>0</v>
      </c>
      <c r="AI32" s="14">
        <f t="shared" ca="1" si="2"/>
        <v>46473.599999999999</v>
      </c>
      <c r="AJ32" s="14">
        <f t="shared" ca="1" si="3"/>
        <v>46473.599999999999</v>
      </c>
      <c r="AK32" s="14">
        <f t="shared" ca="1" si="4"/>
        <v>1115.3663999999999</v>
      </c>
      <c r="AL32" s="14">
        <f t="shared" ca="1" si="5"/>
        <v>232.36799999999999</v>
      </c>
      <c r="AM32" s="14">
        <f t="shared" ca="1" si="6"/>
        <v>1626.576</v>
      </c>
      <c r="AN32" s="14">
        <f t="shared" ca="1" si="7"/>
        <v>790.05119999999999</v>
      </c>
      <c r="AO32" s="14">
        <f t="shared" ca="1" si="8"/>
        <v>2509.5744</v>
      </c>
      <c r="AP32" s="14">
        <f t="shared" ca="1" si="9"/>
        <v>12083.135999999999</v>
      </c>
      <c r="AQ32" s="14">
        <f t="shared" ca="1" si="10"/>
        <v>1068.8927999999999</v>
      </c>
      <c r="AR32" s="14">
        <f t="shared" ca="1" si="11"/>
        <v>1161.8399999999999</v>
      </c>
      <c r="AS32" s="14">
        <f t="shared" ca="1" si="12"/>
        <v>25885.795199999997</v>
      </c>
    </row>
    <row r="33" spans="1:45" x14ac:dyDescent="0.35">
      <c r="A33" s="2" t="s">
        <v>67</v>
      </c>
      <c r="B33" t="s">
        <v>139</v>
      </c>
      <c r="C33" t="s">
        <v>140</v>
      </c>
      <c r="D33" s="3">
        <v>32342</v>
      </c>
      <c r="E33" s="2">
        <f ca="1">DATEDIF(Tableau93[[#This Row],[Date de Naissance]],TODAY(),"y")</f>
        <v>36</v>
      </c>
      <c r="F33" s="2" t="str">
        <f ca="1">IF(AND(Tableau93[[#This Row],[AGE]]&gt;0,Tableau93[[#This Row],[AGE]]&lt;=30),"0-30",IF(AND(Tableau93[[#This Row],[AGE]]&gt;30,Tableau93[[#This Row],[AGE]]&lt;=40),"30-40","&gt;50 ans"))</f>
        <v>30-40</v>
      </c>
      <c r="G33" s="2" t="s">
        <v>23</v>
      </c>
      <c r="H33" s="2" t="s">
        <v>24</v>
      </c>
      <c r="I33" s="3" t="s">
        <v>25</v>
      </c>
      <c r="J33" s="3">
        <v>45082</v>
      </c>
      <c r="K33" s="2">
        <f ca="1">DATEDIF(Tableau93[[#This Row],[Date Embauche]],TODAY(),"y")</f>
        <v>1</v>
      </c>
      <c r="L33"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[0-2[</v>
      </c>
      <c r="M33" s="2">
        <v>6572</v>
      </c>
      <c r="N33" s="8" t="s">
        <v>312</v>
      </c>
      <c r="O33" s="2" t="s">
        <v>203</v>
      </c>
      <c r="P33" s="2">
        <v>2</v>
      </c>
      <c r="Q33" s="8" t="s">
        <v>313</v>
      </c>
      <c r="R33" s="2" t="s">
        <v>314</v>
      </c>
      <c r="S33" s="2" t="s">
        <v>173</v>
      </c>
      <c r="T33" s="2">
        <v>66994</v>
      </c>
      <c r="U33" s="2" t="s">
        <v>183</v>
      </c>
      <c r="V33" s="2" t="s">
        <v>175</v>
      </c>
      <c r="W33" s="2" t="s">
        <v>190</v>
      </c>
      <c r="X33" s="2" t="s">
        <v>315</v>
      </c>
      <c r="Y33" s="3">
        <f>Tableau93[[#This Row],[Date Embauche]]+8000</f>
        <v>53082</v>
      </c>
      <c r="Z33" s="2" t="s">
        <v>22</v>
      </c>
      <c r="AA33" s="3" t="s">
        <v>59</v>
      </c>
      <c r="AB33" s="14">
        <f>SUMIF(Sheet2!$A:$A,DataSet_BON!A33,Sheet2!$F:$F)</f>
        <v>0</v>
      </c>
      <c r="AC33" s="14">
        <f>SUMIF(Sheet5!$A:$A,DataSet_BON!A33,Sheet5!$F:$F)</f>
        <v>0</v>
      </c>
      <c r="AD33" s="14">
        <f>SUMIF(AVANCES!$A:$A,DataSet_BON!A33,AVANCES!$E:$E)</f>
        <v>15585</v>
      </c>
      <c r="AE33" s="14">
        <f>SUMIF(INDEMNITES_PRIMES!$A:$A,DataSet_BON!A33,INDEMNITES_PRIMES!$J:$J)</f>
        <v>0</v>
      </c>
      <c r="AF33" s="8">
        <f ca="1">IFERROR(INDEX(Sheet1!$M$2:$U$68,MATCH(INDEX(Sheet1!$B$4:$H$15,MATCH(DataSet_BON!I33,Sheet1!$B$4:$B$15,0),MATCH(DataSet_BON!H33,Sheet1!$B$4:$H$4,0)),Sheet1!$M$2:$M$68,0),MATCH(DataSet_BON!K33,Sheet1!$M$2:$U$2,0)),VLOOKUP(INDEX(Sheet1!$B$4:$H$15,MATCH(DataSet_BON!I33,Sheet1!$B$4:$B$15,0),MATCH(DataSet_BON!H33,Sheet1!$B$4:$H$4,0)),Sheet1!$J$3:$L$68,3,FALSE))</f>
        <v>540.35</v>
      </c>
      <c r="AG33" s="14">
        <f t="shared" ca="1" si="0"/>
        <v>0</v>
      </c>
      <c r="AH33" s="14">
        <f t="shared" ca="1" si="1"/>
        <v>0</v>
      </c>
      <c r="AI33" s="14">
        <f t="shared" ca="1" si="2"/>
        <v>86456</v>
      </c>
      <c r="AJ33" s="14">
        <f t="shared" ca="1" si="3"/>
        <v>70871</v>
      </c>
      <c r="AK33" s="14">
        <f t="shared" ca="1" si="4"/>
        <v>2074.944</v>
      </c>
      <c r="AL33" s="14">
        <f t="shared" ca="1" si="5"/>
        <v>432.28</v>
      </c>
      <c r="AM33" s="14">
        <f t="shared" ca="1" si="6"/>
        <v>3025.96</v>
      </c>
      <c r="AN33" s="14">
        <f t="shared" ca="1" si="7"/>
        <v>1469.7519999999997</v>
      </c>
      <c r="AO33" s="14">
        <f t="shared" ca="1" si="8"/>
        <v>4668.6239999999998</v>
      </c>
      <c r="AP33" s="14">
        <f t="shared" ca="1" si="9"/>
        <v>22478.560000000001</v>
      </c>
      <c r="AQ33" s="14">
        <f t="shared" ca="1" si="10"/>
        <v>1988.4879999999998</v>
      </c>
      <c r="AR33" s="14">
        <f t="shared" ca="1" si="11"/>
        <v>2161.4</v>
      </c>
      <c r="AS33" s="14">
        <f t="shared" ca="1" si="12"/>
        <v>48155.992000000006</v>
      </c>
    </row>
    <row r="34" spans="1:45" x14ac:dyDescent="0.35">
      <c r="A34" s="2" t="s">
        <v>68</v>
      </c>
      <c r="B34" t="s">
        <v>141</v>
      </c>
      <c r="C34" t="s">
        <v>142</v>
      </c>
      <c r="D34" s="3">
        <v>34196</v>
      </c>
      <c r="E34" s="2">
        <f ca="1">DATEDIF(Tableau93[[#This Row],[Date de Naissance]],TODAY(),"y")</f>
        <v>31</v>
      </c>
      <c r="F34" s="2" t="str">
        <f ca="1">IF(AND(Tableau93[[#This Row],[AGE]]&gt;0,Tableau93[[#This Row],[AGE]]&lt;=30),"0-30",IF(AND(Tableau93[[#This Row],[AGE]]&gt;30,Tableau93[[#This Row],[AGE]]&lt;=40),"30-40","&gt;50 ans"))</f>
        <v>30-40</v>
      </c>
      <c r="G34" s="2" t="s">
        <v>15</v>
      </c>
      <c r="H34" s="2" t="s">
        <v>24</v>
      </c>
      <c r="I34" s="3" t="s">
        <v>25</v>
      </c>
      <c r="J34" s="3">
        <v>45082</v>
      </c>
      <c r="K34" s="2">
        <f ca="1">DATEDIF(Tableau93[[#This Row],[Date Embauche]],TODAY(),"y")</f>
        <v>1</v>
      </c>
      <c r="L34"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[0-2[</v>
      </c>
      <c r="M34" s="2">
        <v>7880</v>
      </c>
      <c r="N34" s="8" t="s">
        <v>316</v>
      </c>
      <c r="O34" s="2" t="s">
        <v>170</v>
      </c>
      <c r="P34" s="2">
        <v>4</v>
      </c>
      <c r="Q34" s="8" t="s">
        <v>317</v>
      </c>
      <c r="R34" s="2" t="s">
        <v>318</v>
      </c>
      <c r="S34" s="2" t="s">
        <v>173</v>
      </c>
      <c r="T34" s="2">
        <v>23926</v>
      </c>
      <c r="U34" s="2" t="s">
        <v>174</v>
      </c>
      <c r="V34" s="2" t="s">
        <v>184</v>
      </c>
      <c r="W34" s="2" t="s">
        <v>176</v>
      </c>
      <c r="X34" s="2" t="s">
        <v>319</v>
      </c>
      <c r="Y34" s="3">
        <f>Tableau93[[#This Row],[Date Embauche]]+8000</f>
        <v>53082</v>
      </c>
      <c r="Z34" s="2" t="s">
        <v>22</v>
      </c>
      <c r="AA34" s="3" t="s">
        <v>59</v>
      </c>
      <c r="AB34" s="14">
        <f>SUMIF(Sheet2!$A:$A,DataSet_BON!A34,Sheet2!$F:$F)</f>
        <v>0</v>
      </c>
      <c r="AC34" s="14">
        <f>SUMIF(Sheet5!$A:$A,DataSet_BON!A34,Sheet5!$F:$F)</f>
        <v>0</v>
      </c>
      <c r="AD34" s="14">
        <f>SUMIF(AVANCES!$A:$A,DataSet_BON!A34,AVANCES!$E:$E)</f>
        <v>0</v>
      </c>
      <c r="AE34" s="14">
        <f>SUMIF(INDEMNITES_PRIMES!$A:$A,DataSet_BON!A34,INDEMNITES_PRIMES!$J:$J)</f>
        <v>0</v>
      </c>
      <c r="AF34" s="8">
        <f ca="1">IFERROR(INDEX(Sheet1!$M$2:$U$68,MATCH(INDEX(Sheet1!$B$4:$H$15,MATCH(DataSet_BON!I34,Sheet1!$B$4:$B$15,0),MATCH(DataSet_BON!H34,Sheet1!$B$4:$H$4,0)),Sheet1!$M$2:$M$68,0),MATCH(DataSet_BON!K34,Sheet1!$M$2:$U$2,0)),VLOOKUP(INDEX(Sheet1!$B$4:$H$15,MATCH(DataSet_BON!I34,Sheet1!$B$4:$B$15,0),MATCH(DataSet_BON!H34,Sheet1!$B$4:$H$4,0)),Sheet1!$J$3:$L$68,3,FALSE))</f>
        <v>540.35</v>
      </c>
      <c r="AG34" s="14">
        <f t="shared" ca="1" si="0"/>
        <v>0</v>
      </c>
      <c r="AH34" s="14">
        <f t="shared" ca="1" si="1"/>
        <v>0</v>
      </c>
      <c r="AI34" s="14">
        <f t="shared" ca="1" si="2"/>
        <v>86456</v>
      </c>
      <c r="AJ34" s="14">
        <f t="shared" ca="1" si="3"/>
        <v>86456</v>
      </c>
      <c r="AK34" s="14">
        <f t="shared" ca="1" si="4"/>
        <v>2074.944</v>
      </c>
      <c r="AL34" s="14">
        <f t="shared" ca="1" si="5"/>
        <v>432.28</v>
      </c>
      <c r="AM34" s="14">
        <f t="shared" ca="1" si="6"/>
        <v>3025.96</v>
      </c>
      <c r="AN34" s="14">
        <f t="shared" ca="1" si="7"/>
        <v>1469.7519999999997</v>
      </c>
      <c r="AO34" s="14">
        <f t="shared" ca="1" si="8"/>
        <v>4668.6239999999998</v>
      </c>
      <c r="AP34" s="14">
        <f t="shared" ca="1" si="9"/>
        <v>22478.560000000001</v>
      </c>
      <c r="AQ34" s="14">
        <f t="shared" ca="1" si="10"/>
        <v>1988.4879999999998</v>
      </c>
      <c r="AR34" s="14">
        <f t="shared" ca="1" si="11"/>
        <v>2161.4</v>
      </c>
      <c r="AS34" s="14">
        <f t="shared" ca="1" si="12"/>
        <v>48155.992000000006</v>
      </c>
    </row>
    <row r="35" spans="1:45" x14ac:dyDescent="0.35">
      <c r="A35" s="2" t="s">
        <v>69</v>
      </c>
      <c r="B35" t="s">
        <v>143</v>
      </c>
      <c r="C35" t="s">
        <v>144</v>
      </c>
      <c r="D35" s="3">
        <v>35300</v>
      </c>
      <c r="E35" s="2">
        <f ca="1">DATEDIF(Tableau93[[#This Row],[Date de Naissance]],TODAY(),"y")</f>
        <v>28</v>
      </c>
      <c r="F35" s="2" t="str">
        <f ca="1">IF(AND(Tableau93[[#This Row],[AGE]]&gt;0,Tableau93[[#This Row],[AGE]]&lt;=30),"0-30",IF(AND(Tableau93[[#This Row],[AGE]]&gt;30,Tableau93[[#This Row],[AGE]]&lt;=40),"30-40","&gt;50 ans"))</f>
        <v>0-30</v>
      </c>
      <c r="G35" s="2" t="s">
        <v>23</v>
      </c>
      <c r="H35" s="2" t="s">
        <v>24</v>
      </c>
      <c r="I35" s="3" t="s">
        <v>25</v>
      </c>
      <c r="J35" s="3">
        <v>45082</v>
      </c>
      <c r="K35" s="2">
        <f ca="1">DATEDIF(Tableau93[[#This Row],[Date Embauche]],TODAY(),"y")</f>
        <v>1</v>
      </c>
      <c r="L35"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[0-2[</v>
      </c>
      <c r="M35" s="2">
        <v>3737</v>
      </c>
      <c r="N35" s="8" t="s">
        <v>320</v>
      </c>
      <c r="O35" s="2" t="s">
        <v>179</v>
      </c>
      <c r="P35" s="2">
        <v>0</v>
      </c>
      <c r="Q35" s="8" t="s">
        <v>321</v>
      </c>
      <c r="R35" s="2" t="s">
        <v>322</v>
      </c>
      <c r="S35" s="2" t="s">
        <v>182</v>
      </c>
      <c r="T35" s="2">
        <v>15439</v>
      </c>
      <c r="U35" s="2" t="s">
        <v>174</v>
      </c>
      <c r="V35" s="2" t="s">
        <v>184</v>
      </c>
      <c r="W35" s="2" t="s">
        <v>185</v>
      </c>
      <c r="X35" s="2" t="s">
        <v>323</v>
      </c>
      <c r="Y35" s="3">
        <f>Tableau93[[#This Row],[Date Embauche]]+8000</f>
        <v>53082</v>
      </c>
      <c r="Z35" s="2" t="s">
        <v>22</v>
      </c>
      <c r="AA35" s="3" t="s">
        <v>62</v>
      </c>
      <c r="AB35" s="14">
        <f>SUMIF(Sheet2!$A:$A,DataSet_BON!A35,Sheet2!$F:$F)</f>
        <v>0</v>
      </c>
      <c r="AC35" s="14">
        <f>SUMIF(Sheet5!$A:$A,DataSet_BON!A35,Sheet5!$F:$F)</f>
        <v>0</v>
      </c>
      <c r="AD35" s="14">
        <f>SUMIF(AVANCES!$A:$A,DataSet_BON!A35,AVANCES!$E:$E)</f>
        <v>0</v>
      </c>
      <c r="AE35" s="14">
        <f>SUMIF(INDEMNITES_PRIMES!$A:$A,DataSet_BON!A35,INDEMNITES_PRIMES!$J:$J)</f>
        <v>0</v>
      </c>
      <c r="AF35" s="8">
        <f ca="1">IFERROR(INDEX(Sheet1!$M$2:$U$68,MATCH(INDEX(Sheet1!$B$4:$H$15,MATCH(DataSet_BON!I35,Sheet1!$B$4:$B$15,0),MATCH(DataSet_BON!H35,Sheet1!$B$4:$H$4,0)),Sheet1!$M$2:$M$68,0),MATCH(DataSet_BON!K35,Sheet1!$M$2:$U$2,0)),VLOOKUP(INDEX(Sheet1!$B$4:$H$15,MATCH(DataSet_BON!I35,Sheet1!$B$4:$B$15,0),MATCH(DataSet_BON!H35,Sheet1!$B$4:$H$4,0)),Sheet1!$J$3:$L$68,3,FALSE))</f>
        <v>540.35</v>
      </c>
      <c r="AG35" s="14">
        <f t="shared" ca="1" si="0"/>
        <v>0</v>
      </c>
      <c r="AH35" s="14">
        <f t="shared" ca="1" si="1"/>
        <v>0</v>
      </c>
      <c r="AI35" s="14">
        <f t="shared" ca="1" si="2"/>
        <v>86456</v>
      </c>
      <c r="AJ35" s="14">
        <f t="shared" ca="1" si="3"/>
        <v>86456</v>
      </c>
      <c r="AK35" s="14">
        <f t="shared" ca="1" si="4"/>
        <v>2074.944</v>
      </c>
      <c r="AL35" s="14">
        <f t="shared" ca="1" si="5"/>
        <v>432.28</v>
      </c>
      <c r="AM35" s="14">
        <f t="shared" ca="1" si="6"/>
        <v>3025.96</v>
      </c>
      <c r="AN35" s="14">
        <f t="shared" ca="1" si="7"/>
        <v>1469.7519999999997</v>
      </c>
      <c r="AO35" s="14">
        <f t="shared" ca="1" si="8"/>
        <v>4668.6239999999998</v>
      </c>
      <c r="AP35" s="14">
        <f t="shared" ca="1" si="9"/>
        <v>22478.560000000001</v>
      </c>
      <c r="AQ35" s="14">
        <f t="shared" ca="1" si="10"/>
        <v>1988.4879999999998</v>
      </c>
      <c r="AR35" s="14">
        <f t="shared" ca="1" si="11"/>
        <v>2161.4</v>
      </c>
      <c r="AS35" s="14">
        <f t="shared" ca="1" si="12"/>
        <v>48155.992000000006</v>
      </c>
    </row>
    <row r="36" spans="1:45" x14ac:dyDescent="0.35">
      <c r="A36" s="2" t="s">
        <v>70</v>
      </c>
      <c r="B36" t="s">
        <v>145</v>
      </c>
      <c r="C36" t="s">
        <v>107</v>
      </c>
      <c r="D36" s="3">
        <v>36206</v>
      </c>
      <c r="E36" s="2">
        <f ca="1">DATEDIF(Tableau93[[#This Row],[Date de Naissance]],TODAY(),"y")</f>
        <v>26</v>
      </c>
      <c r="F36" s="2" t="str">
        <f ca="1">IF(AND(Tableau93[[#This Row],[AGE]]&gt;0,Tableau93[[#This Row],[AGE]]&lt;=30),"0-30",IF(AND(Tableau93[[#This Row],[AGE]]&gt;30,Tableau93[[#This Row],[AGE]]&lt;=40),"30-40","&gt;50 ans"))</f>
        <v>0-30</v>
      </c>
      <c r="G36" s="2" t="s">
        <v>23</v>
      </c>
      <c r="H36" s="2" t="s">
        <v>71</v>
      </c>
      <c r="I36" s="3" t="s">
        <v>25</v>
      </c>
      <c r="J36" s="3">
        <v>45082</v>
      </c>
      <c r="K36" s="2">
        <f ca="1">DATEDIF(Tableau93[[#This Row],[Date Embauche]],TODAY(),"y")</f>
        <v>1</v>
      </c>
      <c r="L36"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[0-2[</v>
      </c>
      <c r="M36" s="2">
        <v>2524</v>
      </c>
      <c r="N36" s="8" t="s">
        <v>324</v>
      </c>
      <c r="O36" s="2" t="s">
        <v>170</v>
      </c>
      <c r="P36" s="2">
        <v>4</v>
      </c>
      <c r="Q36" s="8" t="s">
        <v>325</v>
      </c>
      <c r="R36" s="2" t="s">
        <v>326</v>
      </c>
      <c r="S36" s="2" t="s">
        <v>200</v>
      </c>
      <c r="T36" s="2">
        <v>14417</v>
      </c>
      <c r="U36" s="2" t="s">
        <v>174</v>
      </c>
      <c r="V36" s="2" t="s">
        <v>175</v>
      </c>
      <c r="W36" s="2" t="s">
        <v>190</v>
      </c>
      <c r="X36" s="2" t="s">
        <v>327</v>
      </c>
      <c r="Y36" s="3">
        <f>Tableau93[[#This Row],[Date Embauche]]+8000</f>
        <v>53082</v>
      </c>
      <c r="Z36" s="2" t="s">
        <v>22</v>
      </c>
      <c r="AA36" s="3" t="s">
        <v>18</v>
      </c>
      <c r="AB36" s="14">
        <f>SUMIF(Sheet2!$A:$A,DataSet_BON!A36,Sheet2!$F:$F)</f>
        <v>0</v>
      </c>
      <c r="AC36" s="14">
        <f>SUMIF(Sheet5!$A:$A,DataSet_BON!A36,Sheet5!$F:$F)</f>
        <v>0</v>
      </c>
      <c r="AD36" s="14">
        <f>SUMIF(AVANCES!$A:$A,DataSet_BON!A36,AVANCES!$E:$E)</f>
        <v>0</v>
      </c>
      <c r="AE36" s="14">
        <f>SUMIF(INDEMNITES_PRIMES!$A:$A,DataSet_BON!A36,INDEMNITES_PRIMES!$J:$J)</f>
        <v>0</v>
      </c>
      <c r="AF36" s="8">
        <f ca="1">IFERROR(INDEX(Sheet1!$M$2:$U$68,MATCH(INDEX(Sheet1!$B$4:$H$15,MATCH(DataSet_BON!I36,Sheet1!$B$4:$B$15,0),MATCH(DataSet_BON!H36,Sheet1!$B$4:$H$4,0)),Sheet1!$M$2:$M$68,0),MATCH(DataSet_BON!K36,Sheet1!$M$2:$U$2,0)),VLOOKUP(INDEX(Sheet1!$B$4:$H$15,MATCH(DataSet_BON!I36,Sheet1!$B$4:$B$15,0),MATCH(DataSet_BON!H36,Sheet1!$B$4:$H$4,0)),Sheet1!$J$3:$L$68,3,FALSE))</f>
        <v>399.96</v>
      </c>
      <c r="AG36" s="14">
        <f t="shared" ca="1" si="0"/>
        <v>0</v>
      </c>
      <c r="AH36" s="14">
        <f t="shared" ca="1" si="1"/>
        <v>0</v>
      </c>
      <c r="AI36" s="14">
        <f t="shared" ca="1" si="2"/>
        <v>63993.599999999999</v>
      </c>
      <c r="AJ36" s="14">
        <f t="shared" ca="1" si="3"/>
        <v>63993.599999999999</v>
      </c>
      <c r="AK36" s="14">
        <f t="shared" ca="1" si="4"/>
        <v>1535.8463999999999</v>
      </c>
      <c r="AL36" s="14">
        <f t="shared" ca="1" si="5"/>
        <v>319.96800000000002</v>
      </c>
      <c r="AM36" s="14">
        <f t="shared" ca="1" si="6"/>
        <v>2239.7759999999998</v>
      </c>
      <c r="AN36" s="14">
        <f t="shared" ca="1" si="7"/>
        <v>1087.8912</v>
      </c>
      <c r="AO36" s="14">
        <f t="shared" ca="1" si="8"/>
        <v>3455.6543999999999</v>
      </c>
      <c r="AP36" s="14">
        <f t="shared" ca="1" si="9"/>
        <v>16638.335999999999</v>
      </c>
      <c r="AQ36" s="14">
        <f t="shared" ca="1" si="10"/>
        <v>1471.8527999999999</v>
      </c>
      <c r="AR36" s="14">
        <f t="shared" ca="1" si="11"/>
        <v>1599.84</v>
      </c>
      <c r="AS36" s="14">
        <f t="shared" ca="1" si="12"/>
        <v>35644.4352</v>
      </c>
    </row>
    <row r="37" spans="1:45" x14ac:dyDescent="0.35">
      <c r="A37" s="2" t="s">
        <v>72</v>
      </c>
      <c r="B37" t="s">
        <v>146</v>
      </c>
      <c r="C37" t="s">
        <v>147</v>
      </c>
      <c r="D37" s="3">
        <v>32743</v>
      </c>
      <c r="E37" s="2">
        <f ca="1">DATEDIF(Tableau93[[#This Row],[Date de Naissance]],TODAY(),"y")</f>
        <v>35</v>
      </c>
      <c r="F37" s="2" t="str">
        <f ca="1">IF(AND(Tableau93[[#This Row],[AGE]]&gt;0,Tableau93[[#This Row],[AGE]]&lt;=30),"0-30",IF(AND(Tableau93[[#This Row],[AGE]]&gt;30,Tableau93[[#This Row],[AGE]]&lt;=40),"30-40","&gt;50 ans"))</f>
        <v>30-40</v>
      </c>
      <c r="G37" s="2" t="s">
        <v>15</v>
      </c>
      <c r="H37" s="2" t="s">
        <v>71</v>
      </c>
      <c r="I37" s="3" t="s">
        <v>25</v>
      </c>
      <c r="J37" s="3">
        <v>45082</v>
      </c>
      <c r="K37" s="2">
        <f ca="1">DATEDIF(Tableau93[[#This Row],[Date Embauche]],TODAY(),"y")</f>
        <v>1</v>
      </c>
      <c r="L37"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[0-2[</v>
      </c>
      <c r="M37" s="2">
        <v>3314</v>
      </c>
      <c r="N37" s="8" t="s">
        <v>328</v>
      </c>
      <c r="O37" s="2" t="s">
        <v>203</v>
      </c>
      <c r="P37" s="2">
        <v>4</v>
      </c>
      <c r="Q37" s="8" t="s">
        <v>329</v>
      </c>
      <c r="R37" s="2" t="s">
        <v>330</v>
      </c>
      <c r="S37" s="2" t="s">
        <v>224</v>
      </c>
      <c r="T37" s="2">
        <v>42474</v>
      </c>
      <c r="U37" s="2" t="s">
        <v>183</v>
      </c>
      <c r="V37" s="2" t="s">
        <v>175</v>
      </c>
      <c r="W37" s="2" t="s">
        <v>190</v>
      </c>
      <c r="X37" s="2" t="s">
        <v>331</v>
      </c>
      <c r="Y37" s="3">
        <f>Tableau93[[#This Row],[Date Embauche]]+8000</f>
        <v>53082</v>
      </c>
      <c r="Z37" s="2" t="s">
        <v>22</v>
      </c>
      <c r="AA37" s="3" t="s">
        <v>18</v>
      </c>
      <c r="AB37" s="14">
        <f>SUMIF(Sheet2!$A:$A,DataSet_BON!A37,Sheet2!$F:$F)</f>
        <v>0</v>
      </c>
      <c r="AC37" s="14">
        <f>SUMIF(Sheet5!$A:$A,DataSet_BON!A37,Sheet5!$F:$F)</f>
        <v>0</v>
      </c>
      <c r="AD37" s="14">
        <f>SUMIF(AVANCES!$A:$A,DataSet_BON!A37,AVANCES!$E:$E)</f>
        <v>0</v>
      </c>
      <c r="AE37" s="14">
        <f>SUMIF(INDEMNITES_PRIMES!$A:$A,DataSet_BON!A37,INDEMNITES_PRIMES!$J:$J)</f>
        <v>0</v>
      </c>
      <c r="AF37" s="8">
        <f ca="1">IFERROR(INDEX(Sheet1!$M$2:$U$68,MATCH(INDEX(Sheet1!$B$4:$H$15,MATCH(DataSet_BON!I37,Sheet1!$B$4:$B$15,0),MATCH(DataSet_BON!H37,Sheet1!$B$4:$H$4,0)),Sheet1!$M$2:$M$68,0),MATCH(DataSet_BON!K37,Sheet1!$M$2:$U$2,0)),VLOOKUP(INDEX(Sheet1!$B$4:$H$15,MATCH(DataSet_BON!I37,Sheet1!$B$4:$B$15,0),MATCH(DataSet_BON!H37,Sheet1!$B$4:$H$4,0)),Sheet1!$J$3:$L$68,3,FALSE))</f>
        <v>399.96</v>
      </c>
      <c r="AG37" s="14">
        <f t="shared" ca="1" si="0"/>
        <v>0</v>
      </c>
      <c r="AH37" s="14">
        <f t="shared" ca="1" si="1"/>
        <v>0</v>
      </c>
      <c r="AI37" s="14">
        <f t="shared" ca="1" si="2"/>
        <v>63993.599999999999</v>
      </c>
      <c r="AJ37" s="14">
        <f t="shared" ca="1" si="3"/>
        <v>63993.599999999999</v>
      </c>
      <c r="AK37" s="14">
        <f t="shared" ca="1" si="4"/>
        <v>1535.8463999999999</v>
      </c>
      <c r="AL37" s="14">
        <f t="shared" ca="1" si="5"/>
        <v>319.96800000000002</v>
      </c>
      <c r="AM37" s="14">
        <f t="shared" ca="1" si="6"/>
        <v>2239.7759999999998</v>
      </c>
      <c r="AN37" s="14">
        <f t="shared" ca="1" si="7"/>
        <v>1087.8912</v>
      </c>
      <c r="AO37" s="14">
        <f t="shared" ca="1" si="8"/>
        <v>3455.6543999999999</v>
      </c>
      <c r="AP37" s="14">
        <f t="shared" ca="1" si="9"/>
        <v>16638.335999999999</v>
      </c>
      <c r="AQ37" s="14">
        <f t="shared" ca="1" si="10"/>
        <v>1471.8527999999999</v>
      </c>
      <c r="AR37" s="14">
        <f t="shared" ca="1" si="11"/>
        <v>1599.84</v>
      </c>
      <c r="AS37" s="14">
        <f t="shared" ca="1" si="12"/>
        <v>35644.4352</v>
      </c>
    </row>
    <row r="38" spans="1:45" x14ac:dyDescent="0.35">
      <c r="A38" s="2" t="s">
        <v>73</v>
      </c>
      <c r="B38" t="s">
        <v>148</v>
      </c>
      <c r="C38" t="s">
        <v>149</v>
      </c>
      <c r="D38" s="3">
        <v>34196</v>
      </c>
      <c r="E38" s="2">
        <f ca="1">DATEDIF(Tableau93[[#This Row],[Date de Naissance]],TODAY(),"y")</f>
        <v>31</v>
      </c>
      <c r="F38" s="2" t="str">
        <f ca="1">IF(AND(Tableau93[[#This Row],[AGE]]&gt;0,Tableau93[[#This Row],[AGE]]&lt;=30),"0-30",IF(AND(Tableau93[[#This Row],[AGE]]&gt;30,Tableau93[[#This Row],[AGE]]&lt;=40),"30-40","&gt;50 ans"))</f>
        <v>30-40</v>
      </c>
      <c r="G38" s="2" t="s">
        <v>15</v>
      </c>
      <c r="H38" s="2" t="s">
        <v>71</v>
      </c>
      <c r="I38" s="3" t="s">
        <v>25</v>
      </c>
      <c r="J38" s="3">
        <v>45082</v>
      </c>
      <c r="K38" s="2">
        <f ca="1">DATEDIF(Tableau93[[#This Row],[Date Embauche]],TODAY(),"y")</f>
        <v>1</v>
      </c>
      <c r="L38"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[0-2[</v>
      </c>
      <c r="M38" s="2">
        <v>5894</v>
      </c>
      <c r="N38" s="8" t="s">
        <v>332</v>
      </c>
      <c r="O38" s="2" t="s">
        <v>203</v>
      </c>
      <c r="P38" s="2">
        <v>1</v>
      </c>
      <c r="Q38" s="8" t="s">
        <v>333</v>
      </c>
      <c r="R38" s="2" t="s">
        <v>334</v>
      </c>
      <c r="S38" s="2" t="s">
        <v>195</v>
      </c>
      <c r="T38" s="2">
        <v>51681</v>
      </c>
      <c r="U38" s="2" t="s">
        <v>174</v>
      </c>
      <c r="V38" s="2" t="s">
        <v>184</v>
      </c>
      <c r="W38" s="2" t="s">
        <v>190</v>
      </c>
      <c r="X38" s="2" t="s">
        <v>335</v>
      </c>
      <c r="Y38" s="3">
        <f>Tableau93[[#This Row],[Date Embauche]]+8000</f>
        <v>53082</v>
      </c>
      <c r="Z38" s="2" t="s">
        <v>22</v>
      </c>
      <c r="AA38" s="3" t="s">
        <v>59</v>
      </c>
      <c r="AB38" s="14">
        <f>SUMIF(Sheet2!$A:$A,DataSet_BON!A38,Sheet2!$F:$F)</f>
        <v>0</v>
      </c>
      <c r="AC38" s="14">
        <f>SUMIF(Sheet5!$A:$A,DataSet_BON!A38,Sheet5!$F:$F)</f>
        <v>0</v>
      </c>
      <c r="AD38" s="14">
        <f>SUMIF(AVANCES!$A:$A,DataSet_BON!A38,AVANCES!$E:$E)</f>
        <v>0</v>
      </c>
      <c r="AE38" s="14">
        <f>SUMIF(INDEMNITES_PRIMES!$A:$A,DataSet_BON!A38,INDEMNITES_PRIMES!$J:$J)</f>
        <v>140000</v>
      </c>
      <c r="AF38" s="8">
        <f ca="1">IFERROR(INDEX(Sheet1!$M$2:$U$68,MATCH(INDEX(Sheet1!$B$4:$H$15,MATCH(DataSet_BON!I38,Sheet1!$B$4:$B$15,0),MATCH(DataSet_BON!H38,Sheet1!$B$4:$H$4,0)),Sheet1!$M$2:$M$68,0),MATCH(DataSet_BON!K38,Sheet1!$M$2:$U$2,0)),VLOOKUP(INDEX(Sheet1!$B$4:$H$15,MATCH(DataSet_BON!I38,Sheet1!$B$4:$B$15,0),MATCH(DataSet_BON!H38,Sheet1!$B$4:$H$4,0)),Sheet1!$J$3:$L$68,3,FALSE))</f>
        <v>399.96</v>
      </c>
      <c r="AG38" s="14">
        <f t="shared" ca="1" si="0"/>
        <v>0</v>
      </c>
      <c r="AH38" s="14">
        <f t="shared" ca="1" si="1"/>
        <v>0</v>
      </c>
      <c r="AI38" s="14">
        <f t="shared" ca="1" si="2"/>
        <v>63993.599999999999</v>
      </c>
      <c r="AJ38" s="14">
        <f t="shared" ca="1" si="3"/>
        <v>63993.599999999999</v>
      </c>
      <c r="AK38" s="14">
        <f t="shared" ca="1" si="4"/>
        <v>1535.8463999999999</v>
      </c>
      <c r="AL38" s="14">
        <f t="shared" ca="1" si="5"/>
        <v>319.96800000000002</v>
      </c>
      <c r="AM38" s="14">
        <f t="shared" ca="1" si="6"/>
        <v>2239.7759999999998</v>
      </c>
      <c r="AN38" s="14">
        <f t="shared" ca="1" si="7"/>
        <v>1087.8912</v>
      </c>
      <c r="AO38" s="14">
        <f t="shared" ca="1" si="8"/>
        <v>3455.6543999999999</v>
      </c>
      <c r="AP38" s="14">
        <f t="shared" ca="1" si="9"/>
        <v>16638.335999999999</v>
      </c>
      <c r="AQ38" s="14">
        <f t="shared" ca="1" si="10"/>
        <v>1471.8527999999999</v>
      </c>
      <c r="AR38" s="14">
        <f t="shared" ca="1" si="11"/>
        <v>1599.84</v>
      </c>
      <c r="AS38" s="14">
        <f t="shared" ca="1" si="12"/>
        <v>35644.4352</v>
      </c>
    </row>
    <row r="39" spans="1:45" x14ac:dyDescent="0.35">
      <c r="A39" s="2" t="s">
        <v>74</v>
      </c>
      <c r="B39" t="s">
        <v>127</v>
      </c>
      <c r="C39" t="s">
        <v>128</v>
      </c>
      <c r="D39" s="3">
        <v>33404</v>
      </c>
      <c r="E39" s="2">
        <f ca="1">DATEDIF(Tableau93[[#This Row],[Date de Naissance]],TODAY(),"y")</f>
        <v>33</v>
      </c>
      <c r="F39" s="2" t="str">
        <f ca="1">IF(AND(Tableau93[[#This Row],[AGE]]&gt;0,Tableau93[[#This Row],[AGE]]&lt;=30),"0-30",IF(AND(Tableau93[[#This Row],[AGE]]&gt;30,Tableau93[[#This Row],[AGE]]&lt;=40),"30-40","&gt;50 ans"))</f>
        <v>30-40</v>
      </c>
      <c r="G39" s="2" t="s">
        <v>15</v>
      </c>
      <c r="H39" s="2" t="s">
        <v>24</v>
      </c>
      <c r="I39" s="3" t="s">
        <v>25</v>
      </c>
      <c r="J39" s="3">
        <v>45082</v>
      </c>
      <c r="K39" s="2">
        <f ca="1">DATEDIF(Tableau93[[#This Row],[Date Embauche]],TODAY(),"y")</f>
        <v>1</v>
      </c>
      <c r="L39"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[0-2[</v>
      </c>
      <c r="M39" s="2">
        <v>17905</v>
      </c>
      <c r="N39" s="8" t="s">
        <v>336</v>
      </c>
      <c r="O39" s="2" t="s">
        <v>203</v>
      </c>
      <c r="P39" s="2">
        <v>1</v>
      </c>
      <c r="Q39" s="8" t="s">
        <v>337</v>
      </c>
      <c r="R39" s="2" t="s">
        <v>289</v>
      </c>
      <c r="S39" s="2" t="s">
        <v>200</v>
      </c>
      <c r="T39" s="2">
        <v>46263</v>
      </c>
      <c r="U39" s="2" t="s">
        <v>174</v>
      </c>
      <c r="V39" s="2" t="s">
        <v>175</v>
      </c>
      <c r="W39" s="2" t="s">
        <v>190</v>
      </c>
      <c r="X39" s="2" t="s">
        <v>338</v>
      </c>
      <c r="Y39" s="3">
        <f>Tableau93[[#This Row],[Date Embauche]]+8000</f>
        <v>53082</v>
      </c>
      <c r="Z39" s="2" t="s">
        <v>22</v>
      </c>
      <c r="AA39" s="3" t="s">
        <v>59</v>
      </c>
      <c r="AB39" s="14">
        <f>SUMIF(Sheet2!$A:$A,DataSet_BON!A39,Sheet2!$F:$F)</f>
        <v>0</v>
      </c>
      <c r="AC39" s="14">
        <f>SUMIF(Sheet5!$A:$A,DataSet_BON!A39,Sheet5!$F:$F)</f>
        <v>0</v>
      </c>
      <c r="AD39" s="14">
        <f>SUMIF(AVANCES!$A:$A,DataSet_BON!A39,AVANCES!$E:$E)</f>
        <v>0</v>
      </c>
      <c r="AE39" s="14">
        <f>SUMIF(INDEMNITES_PRIMES!$A:$A,DataSet_BON!A39,INDEMNITES_PRIMES!$J:$J)</f>
        <v>0</v>
      </c>
      <c r="AF39" s="8">
        <f ca="1">IFERROR(INDEX(Sheet1!$M$2:$U$68,MATCH(INDEX(Sheet1!$B$4:$H$15,MATCH(DataSet_BON!I39,Sheet1!$B$4:$B$15,0),MATCH(DataSet_BON!H39,Sheet1!$B$4:$H$4,0)),Sheet1!$M$2:$M$68,0),MATCH(DataSet_BON!K39,Sheet1!$M$2:$U$2,0)),VLOOKUP(INDEX(Sheet1!$B$4:$H$15,MATCH(DataSet_BON!I39,Sheet1!$B$4:$B$15,0),MATCH(DataSet_BON!H39,Sheet1!$B$4:$H$4,0)),Sheet1!$J$3:$L$68,3,FALSE))</f>
        <v>540.35</v>
      </c>
      <c r="AG39" s="14">
        <f t="shared" ca="1" si="0"/>
        <v>0</v>
      </c>
      <c r="AH39" s="14">
        <f t="shared" ca="1" si="1"/>
        <v>0</v>
      </c>
      <c r="AI39" s="14">
        <f t="shared" ca="1" si="2"/>
        <v>86456</v>
      </c>
      <c r="AJ39" s="14">
        <f t="shared" ca="1" si="3"/>
        <v>86456</v>
      </c>
      <c r="AK39" s="14">
        <f t="shared" ca="1" si="4"/>
        <v>2074.944</v>
      </c>
      <c r="AL39" s="14">
        <f t="shared" ca="1" si="5"/>
        <v>432.28</v>
      </c>
      <c r="AM39" s="14">
        <f t="shared" ca="1" si="6"/>
        <v>3025.96</v>
      </c>
      <c r="AN39" s="14">
        <f t="shared" ca="1" si="7"/>
        <v>1469.7519999999997</v>
      </c>
      <c r="AO39" s="14">
        <f t="shared" ca="1" si="8"/>
        <v>4668.6239999999998</v>
      </c>
      <c r="AP39" s="14">
        <f t="shared" ca="1" si="9"/>
        <v>22478.560000000001</v>
      </c>
      <c r="AQ39" s="14">
        <f t="shared" ca="1" si="10"/>
        <v>1988.4879999999998</v>
      </c>
      <c r="AR39" s="14">
        <f t="shared" ca="1" si="11"/>
        <v>2161.4</v>
      </c>
      <c r="AS39" s="14">
        <f t="shared" ca="1" si="12"/>
        <v>48155.992000000006</v>
      </c>
    </row>
    <row r="40" spans="1:45" x14ac:dyDescent="0.35">
      <c r="A40" s="2" t="s">
        <v>75</v>
      </c>
      <c r="B40" t="s">
        <v>123</v>
      </c>
      <c r="C40" t="s">
        <v>150</v>
      </c>
      <c r="D40" s="3">
        <v>34914</v>
      </c>
      <c r="E40" s="2">
        <f ca="1">DATEDIF(Tableau93[[#This Row],[Date de Naissance]],TODAY(),"y")</f>
        <v>29</v>
      </c>
      <c r="F40" s="2" t="str">
        <f ca="1">IF(AND(Tableau93[[#This Row],[AGE]]&gt;0,Tableau93[[#This Row],[AGE]]&lt;=30),"0-30",IF(AND(Tableau93[[#This Row],[AGE]]&gt;30,Tableau93[[#This Row],[AGE]]&lt;=40),"30-40","&gt;50 ans"))</f>
        <v>0-30</v>
      </c>
      <c r="G40" s="2" t="s">
        <v>15</v>
      </c>
      <c r="H40" s="2" t="s">
        <v>24</v>
      </c>
      <c r="I40" s="3" t="s">
        <v>25</v>
      </c>
      <c r="J40" s="3">
        <v>45082</v>
      </c>
      <c r="K40" s="2">
        <f ca="1">DATEDIF(Tableau93[[#This Row],[Date Embauche]],TODAY(),"y")</f>
        <v>1</v>
      </c>
      <c r="L40"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[0-2[</v>
      </c>
      <c r="M40" s="2">
        <v>2403</v>
      </c>
      <c r="N40" s="8" t="s">
        <v>339</v>
      </c>
      <c r="O40" s="2" t="s">
        <v>203</v>
      </c>
      <c r="P40" s="2">
        <v>1</v>
      </c>
      <c r="Q40" s="8" t="s">
        <v>340</v>
      </c>
      <c r="R40" s="2" t="s">
        <v>341</v>
      </c>
      <c r="S40" s="2" t="s">
        <v>173</v>
      </c>
      <c r="T40" s="2">
        <v>87982</v>
      </c>
      <c r="U40" s="2" t="s">
        <v>183</v>
      </c>
      <c r="V40" s="2" t="s">
        <v>175</v>
      </c>
      <c r="W40" s="2" t="s">
        <v>190</v>
      </c>
      <c r="X40" s="2" t="s">
        <v>342</v>
      </c>
      <c r="Y40" s="3">
        <f>Tableau93[[#This Row],[Date Embauche]]+8000</f>
        <v>53082</v>
      </c>
      <c r="Z40" s="2" t="s">
        <v>22</v>
      </c>
      <c r="AA40" s="3" t="s">
        <v>62</v>
      </c>
      <c r="AB40" s="14">
        <f>SUMIF(Sheet2!$A:$A,DataSet_BON!A40,Sheet2!$F:$F)</f>
        <v>0</v>
      </c>
      <c r="AC40" s="14">
        <f>SUMIF(Sheet5!$A:$A,DataSet_BON!A40,Sheet5!$F:$F)</f>
        <v>0</v>
      </c>
      <c r="AD40" s="14">
        <f>SUMIF(AVANCES!$A:$A,DataSet_BON!A40,AVANCES!$E:$E)</f>
        <v>0</v>
      </c>
      <c r="AE40" s="14">
        <f>SUMIF(INDEMNITES_PRIMES!$A:$A,DataSet_BON!A40,INDEMNITES_PRIMES!$J:$J)</f>
        <v>0</v>
      </c>
      <c r="AF40" s="8">
        <f ca="1">IFERROR(INDEX(Sheet1!$M$2:$U$68,MATCH(INDEX(Sheet1!$B$4:$H$15,MATCH(DataSet_BON!I40,Sheet1!$B$4:$B$15,0),MATCH(DataSet_BON!H40,Sheet1!$B$4:$H$4,0)),Sheet1!$M$2:$M$68,0),MATCH(DataSet_BON!K40,Sheet1!$M$2:$U$2,0)),VLOOKUP(INDEX(Sheet1!$B$4:$H$15,MATCH(DataSet_BON!I40,Sheet1!$B$4:$B$15,0),MATCH(DataSet_BON!H40,Sheet1!$B$4:$H$4,0)),Sheet1!$J$3:$L$68,3,FALSE))</f>
        <v>540.35</v>
      </c>
      <c r="AG40" s="14">
        <f t="shared" ca="1" si="0"/>
        <v>0</v>
      </c>
      <c r="AH40" s="14">
        <f t="shared" ca="1" si="1"/>
        <v>0</v>
      </c>
      <c r="AI40" s="14">
        <f t="shared" ca="1" si="2"/>
        <v>86456</v>
      </c>
      <c r="AJ40" s="14">
        <f t="shared" ca="1" si="3"/>
        <v>86456</v>
      </c>
      <c r="AK40" s="14">
        <f t="shared" ca="1" si="4"/>
        <v>2074.944</v>
      </c>
      <c r="AL40" s="14">
        <f t="shared" ca="1" si="5"/>
        <v>432.28</v>
      </c>
      <c r="AM40" s="14">
        <f t="shared" ca="1" si="6"/>
        <v>3025.96</v>
      </c>
      <c r="AN40" s="14">
        <f t="shared" ca="1" si="7"/>
        <v>1469.7519999999997</v>
      </c>
      <c r="AO40" s="14">
        <f t="shared" ca="1" si="8"/>
        <v>4668.6239999999998</v>
      </c>
      <c r="AP40" s="14">
        <f t="shared" ca="1" si="9"/>
        <v>22478.560000000001</v>
      </c>
      <c r="AQ40" s="14">
        <f t="shared" ca="1" si="10"/>
        <v>1988.4879999999998</v>
      </c>
      <c r="AR40" s="14">
        <f t="shared" ca="1" si="11"/>
        <v>2161.4</v>
      </c>
      <c r="AS40" s="14">
        <f t="shared" ca="1" si="12"/>
        <v>48155.992000000006</v>
      </c>
    </row>
    <row r="41" spans="1:45" x14ac:dyDescent="0.35">
      <c r="A41" s="2" t="s">
        <v>76</v>
      </c>
      <c r="B41" t="s">
        <v>151</v>
      </c>
      <c r="C41" t="s">
        <v>152</v>
      </c>
      <c r="D41" s="3">
        <v>36141</v>
      </c>
      <c r="E41" s="2">
        <f ca="1">DATEDIF(Tableau93[[#This Row],[Date de Naissance]],TODAY(),"y")</f>
        <v>26</v>
      </c>
      <c r="F41" s="2" t="str">
        <f ca="1">IF(AND(Tableau93[[#This Row],[AGE]]&gt;0,Tableau93[[#This Row],[AGE]]&lt;=30),"0-30",IF(AND(Tableau93[[#This Row],[AGE]]&gt;30,Tableau93[[#This Row],[AGE]]&lt;=40),"30-40","&gt;50 ans"))</f>
        <v>0-30</v>
      </c>
      <c r="G41" s="2" t="s">
        <v>15</v>
      </c>
      <c r="H41" s="2" t="s">
        <v>24</v>
      </c>
      <c r="I41" s="3" t="s">
        <v>25</v>
      </c>
      <c r="J41" s="3">
        <v>45083</v>
      </c>
      <c r="K41" s="2">
        <f ca="1">DATEDIF(Tableau93[[#This Row],[Date Embauche]],TODAY(),"y")</f>
        <v>1</v>
      </c>
      <c r="L41"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[0-2[</v>
      </c>
      <c r="M41" s="2">
        <v>6313</v>
      </c>
      <c r="N41" s="8" t="s">
        <v>343</v>
      </c>
      <c r="O41" s="2" t="s">
        <v>179</v>
      </c>
      <c r="P41" s="2">
        <v>0</v>
      </c>
      <c r="Q41" s="8" t="s">
        <v>344</v>
      </c>
      <c r="R41" s="2" t="s">
        <v>345</v>
      </c>
      <c r="S41" s="2" t="s">
        <v>173</v>
      </c>
      <c r="T41" s="2">
        <v>34551</v>
      </c>
      <c r="U41" s="2" t="s">
        <v>174</v>
      </c>
      <c r="V41" s="2" t="s">
        <v>175</v>
      </c>
      <c r="W41" s="2" t="s">
        <v>190</v>
      </c>
      <c r="X41" s="2" t="s">
        <v>346</v>
      </c>
      <c r="Y41" s="3">
        <f>Tableau93[[#This Row],[Date Embauche]]+8000</f>
        <v>53083</v>
      </c>
      <c r="Z41" s="2" t="s">
        <v>22</v>
      </c>
      <c r="AA41" s="3" t="s">
        <v>62</v>
      </c>
      <c r="AB41" s="14">
        <f>SUMIF(Sheet2!$A:$A,DataSet_BON!A41,Sheet2!$F:$F)</f>
        <v>0</v>
      </c>
      <c r="AC41" s="14">
        <f>SUMIF(Sheet5!$A:$A,DataSet_BON!A41,Sheet5!$F:$F)</f>
        <v>0</v>
      </c>
      <c r="AD41" s="14">
        <f>SUMIF(AVANCES!$A:$A,DataSet_BON!A41,AVANCES!$E:$E)</f>
        <v>0</v>
      </c>
      <c r="AE41" s="14">
        <f>SUMIF(INDEMNITES_PRIMES!$A:$A,DataSet_BON!A41,INDEMNITES_PRIMES!$J:$J)</f>
        <v>0</v>
      </c>
      <c r="AF41" s="8">
        <f ca="1">IFERROR(INDEX(Sheet1!$M$2:$U$68,MATCH(INDEX(Sheet1!$B$4:$H$15,MATCH(DataSet_BON!I41,Sheet1!$B$4:$B$15,0),MATCH(DataSet_BON!H41,Sheet1!$B$4:$H$4,0)),Sheet1!$M$2:$M$68,0),MATCH(DataSet_BON!K41,Sheet1!$M$2:$U$2,0)),VLOOKUP(INDEX(Sheet1!$B$4:$H$15,MATCH(DataSet_BON!I41,Sheet1!$B$4:$B$15,0),MATCH(DataSet_BON!H41,Sheet1!$B$4:$H$4,0)),Sheet1!$J$3:$L$68,3,FALSE))</f>
        <v>540.35</v>
      </c>
      <c r="AG41" s="14">
        <f t="shared" ca="1" si="0"/>
        <v>0</v>
      </c>
      <c r="AH41" s="14">
        <f t="shared" ca="1" si="1"/>
        <v>0</v>
      </c>
      <c r="AI41" s="14">
        <f t="shared" ca="1" si="2"/>
        <v>86456</v>
      </c>
      <c r="AJ41" s="14">
        <f t="shared" ca="1" si="3"/>
        <v>86456</v>
      </c>
      <c r="AK41" s="14">
        <f t="shared" ca="1" si="4"/>
        <v>2074.944</v>
      </c>
      <c r="AL41" s="14">
        <f t="shared" ca="1" si="5"/>
        <v>432.28</v>
      </c>
      <c r="AM41" s="14">
        <f t="shared" ca="1" si="6"/>
        <v>3025.96</v>
      </c>
      <c r="AN41" s="14">
        <f t="shared" ca="1" si="7"/>
        <v>1469.7519999999997</v>
      </c>
      <c r="AO41" s="14">
        <f t="shared" ca="1" si="8"/>
        <v>4668.6239999999998</v>
      </c>
      <c r="AP41" s="14">
        <f t="shared" ca="1" si="9"/>
        <v>22478.560000000001</v>
      </c>
      <c r="AQ41" s="14">
        <f t="shared" ca="1" si="10"/>
        <v>1988.4879999999998</v>
      </c>
      <c r="AR41" s="14">
        <f t="shared" ca="1" si="11"/>
        <v>2161.4</v>
      </c>
      <c r="AS41" s="14">
        <f t="shared" ca="1" si="12"/>
        <v>48155.992000000006</v>
      </c>
    </row>
    <row r="42" spans="1:45" x14ac:dyDescent="0.35">
      <c r="A42" s="2" t="s">
        <v>77</v>
      </c>
      <c r="B42" t="s">
        <v>153</v>
      </c>
      <c r="C42" t="s">
        <v>116</v>
      </c>
      <c r="D42" s="3">
        <v>36142</v>
      </c>
      <c r="E42" s="2">
        <f ca="1">DATEDIF(Tableau93[[#This Row],[Date de Naissance]],TODAY(),"y")</f>
        <v>26</v>
      </c>
      <c r="F42" s="2" t="str">
        <f ca="1">IF(AND(Tableau93[[#This Row],[AGE]]&gt;0,Tableau93[[#This Row],[AGE]]&lt;=30),"0-30",IF(AND(Tableau93[[#This Row],[AGE]]&gt;30,Tableau93[[#This Row],[AGE]]&lt;=40),"30-40","&gt;50 ans"))</f>
        <v>0-30</v>
      </c>
      <c r="G42" s="2" t="s">
        <v>15</v>
      </c>
      <c r="H42" s="2" t="s">
        <v>24</v>
      </c>
      <c r="I42" s="3" t="s">
        <v>25</v>
      </c>
      <c r="J42" s="3">
        <v>45084</v>
      </c>
      <c r="K42" s="2">
        <f ca="1">DATEDIF(Tableau93[[#This Row],[Date Embauche]],TODAY(),"y")</f>
        <v>1</v>
      </c>
      <c r="L42" s="2" t="str">
        <f ca="1">IF(AND(Tableau93[[#This Row],[Anciennete]]&gt;=0,Tableau93[[#This Row],[Anciennete]]&lt;2),"[0-2[",IF(AND(Tableau93[[#This Row],[Anciennete]]&gt;=2,Tableau93[[#This Row],[Anciennete]]&lt;5),"[2-5[",IF(AND(Tableau93[[#This Row],[Anciennete]]&gt;=5,Tableau93[[#This Row],[Anciennete]]&lt;12),"[5;12[",IF(AND(Tableau93[[#This Row],[Anciennete]]&gt;=12,Tableau93[[#This Row],[Anciennete]]&lt;15),"[12-15[",IF(Tableau93[[#This Row],[Anciennete]]&gt;=15,Tableau93[[#This Row],[Anciennete]]&lt;20,"[15-20[")))))</f>
        <v>[0-2[</v>
      </c>
      <c r="M42" s="2">
        <v>955</v>
      </c>
      <c r="N42" s="8" t="s">
        <v>347</v>
      </c>
      <c r="O42" s="2" t="s">
        <v>203</v>
      </c>
      <c r="P42" s="2">
        <v>3</v>
      </c>
      <c r="Q42" s="8" t="s">
        <v>348</v>
      </c>
      <c r="R42" s="2" t="s">
        <v>349</v>
      </c>
      <c r="S42" s="2" t="s">
        <v>173</v>
      </c>
      <c r="T42" s="2">
        <v>18802</v>
      </c>
      <c r="U42" s="2" t="s">
        <v>174</v>
      </c>
      <c r="V42" s="2" t="s">
        <v>175</v>
      </c>
      <c r="W42" s="2" t="s">
        <v>190</v>
      </c>
      <c r="X42" s="2" t="s">
        <v>350</v>
      </c>
      <c r="Y42" s="3">
        <f>Tableau93[[#This Row],[Date Embauche]]+8000</f>
        <v>53084</v>
      </c>
      <c r="Z42" s="2" t="s">
        <v>22</v>
      </c>
      <c r="AA42" s="3" t="s">
        <v>62</v>
      </c>
      <c r="AB42" s="14">
        <f>SUMIF(Sheet2!$A:$A,DataSet_BON!A42,Sheet2!$F:$F)</f>
        <v>0</v>
      </c>
      <c r="AC42" s="14">
        <f>SUMIF(Sheet5!$A:$A,DataSet_BON!A42,Sheet5!$F:$F)</f>
        <v>0</v>
      </c>
      <c r="AD42" s="14">
        <f>SUMIF(AVANCES!$A:$A,DataSet_BON!A42,AVANCES!$E:$E)</f>
        <v>15600</v>
      </c>
      <c r="AE42" s="14">
        <f>SUMIF(INDEMNITES_PRIMES!$A:$A,DataSet_BON!A42,INDEMNITES_PRIMES!$J:$J)</f>
        <v>0</v>
      </c>
      <c r="AF42" s="8">
        <f ca="1">IFERROR(INDEX(Sheet1!$M$2:$U$68,MATCH(INDEX(Sheet1!$B$4:$H$15,MATCH(DataSet_BON!I42,Sheet1!$B$4:$B$15,0),MATCH(DataSet_BON!H42,Sheet1!$B$4:$H$4,0)),Sheet1!$M$2:$M$68,0),MATCH(DataSet_BON!K42,Sheet1!$M$2:$U$2,0)),VLOOKUP(INDEX(Sheet1!$B$4:$H$15,MATCH(DataSet_BON!I42,Sheet1!$B$4:$B$15,0),MATCH(DataSet_BON!H42,Sheet1!$B$4:$H$4,0)),Sheet1!$J$3:$L$68,3,FALSE))</f>
        <v>540.35</v>
      </c>
      <c r="AG42" s="14">
        <f t="shared" ca="1" si="0"/>
        <v>0</v>
      </c>
      <c r="AH42" s="14">
        <f t="shared" ca="1" si="1"/>
        <v>0</v>
      </c>
      <c r="AI42" s="14">
        <f t="shared" ca="1" si="2"/>
        <v>86456</v>
      </c>
      <c r="AJ42" s="14">
        <f t="shared" ca="1" si="3"/>
        <v>70856</v>
      </c>
      <c r="AK42" s="14">
        <f t="shared" ca="1" si="4"/>
        <v>2074.944</v>
      </c>
      <c r="AL42" s="14">
        <f t="shared" ca="1" si="5"/>
        <v>432.28</v>
      </c>
      <c r="AM42" s="14">
        <f t="shared" ca="1" si="6"/>
        <v>3025.96</v>
      </c>
      <c r="AN42" s="14">
        <f t="shared" ca="1" si="7"/>
        <v>1469.7519999999997</v>
      </c>
      <c r="AO42" s="14">
        <f t="shared" ca="1" si="8"/>
        <v>4668.6239999999998</v>
      </c>
      <c r="AP42" s="14">
        <f t="shared" ca="1" si="9"/>
        <v>22478.560000000001</v>
      </c>
      <c r="AQ42" s="14">
        <f t="shared" ca="1" si="10"/>
        <v>1988.4879999999998</v>
      </c>
      <c r="AR42" s="14">
        <f t="shared" ca="1" si="11"/>
        <v>2161.4</v>
      </c>
      <c r="AS42" s="14">
        <f t="shared" ca="1" si="12"/>
        <v>48155.992000000006</v>
      </c>
    </row>
  </sheetData>
  <dataValidations count="1">
    <dataValidation type="list" allowBlank="1" showInputMessage="1" showErrorMessage="1" sqref="G2:G42" xr:uid="{BC5720A1-E037-4129-9938-BE3F982A0E6C}">
      <formula1>"Homme, Femme"</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1C00-022B-4E6A-9B7B-6E22EC6E94F0}">
  <sheetPr codeName="Sheet13"/>
  <dimension ref="A1"/>
  <sheetViews>
    <sheetView tabSelected="1" workbookViewId="0">
      <selection activeCell="B4" sqref="B4"/>
    </sheetView>
  </sheetViews>
  <sheetFormatPr baseColWidth="10" defaultColWidth="8.90625" defaultRowHeight="14.5" x14ac:dyDescent="0.35"/>
  <cols>
    <col min="1" max="16384" width="8.90625" style="45"/>
  </cols>
  <sheetData>
    <row r="1" spans="1:1" ht="47.5" x14ac:dyDescent="1.1000000000000001">
      <c r="A1" s="46"/>
    </row>
  </sheetData>
  <pageMargins left="0.7" right="0.7" top="0.75" bottom="0.75" header="0.3" footer="0.3"/>
  <drawing r:id="rId1"/>
  <legacyDrawing r:id="rId2"/>
  <controls>
    <mc:AlternateContent xmlns:mc="http://schemas.openxmlformats.org/markup-compatibility/2006">
      <mc:Choice Requires="x14">
        <control shapeId="3074" r:id="rId3" name="CommandButton1">
          <controlPr defaultSize="0" autoLine="0" r:id="rId4">
            <anchor moveWithCells="1">
              <from>
                <xdr:col>0</xdr:col>
                <xdr:colOff>63500</xdr:colOff>
                <xdr:row>0</xdr:row>
                <xdr:rowOff>184150</xdr:rowOff>
              </from>
              <to>
                <xdr:col>2</xdr:col>
                <xdr:colOff>12700</xdr:colOff>
                <xdr:row>2</xdr:row>
                <xdr:rowOff>69850</xdr:rowOff>
              </to>
            </anchor>
          </controlPr>
        </control>
      </mc:Choice>
      <mc:Fallback>
        <control shapeId="3074" r:id="rId3" name="CommandButton1"/>
      </mc:Fallback>
    </mc:AlternateContent>
  </controls>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9D310-64AE-4DC1-A883-55447637A36B}">
  <sheetPr codeName="Sheet2"/>
  <dimension ref="B1:U68"/>
  <sheetViews>
    <sheetView workbookViewId="0">
      <selection activeCell="L4" sqref="L4"/>
    </sheetView>
  </sheetViews>
  <sheetFormatPr baseColWidth="10" defaultColWidth="8.7265625" defaultRowHeight="14.5" x14ac:dyDescent="0.35"/>
  <cols>
    <col min="2" max="2" width="11" bestFit="1" customWidth="1"/>
    <col min="3" max="3" width="11.36328125" bestFit="1" customWidth="1"/>
    <col min="6" max="6" width="8" bestFit="1" customWidth="1"/>
    <col min="7" max="7" width="9.81640625" bestFit="1" customWidth="1"/>
    <col min="8" max="8" width="7.81640625" bestFit="1" customWidth="1"/>
    <col min="11" max="11" width="15.36328125" bestFit="1" customWidth="1"/>
    <col min="12" max="12" width="13.08984375" bestFit="1" customWidth="1"/>
    <col min="13" max="16" width="13.08984375" customWidth="1"/>
    <col min="19" max="19" width="9.81640625" bestFit="1" customWidth="1"/>
    <col min="20" max="21" width="10.08984375" bestFit="1" customWidth="1"/>
  </cols>
  <sheetData>
    <row r="1" spans="2:21" x14ac:dyDescent="0.35">
      <c r="N1" s="6">
        <v>1</v>
      </c>
      <c r="O1" s="6">
        <v>2</v>
      </c>
      <c r="P1" s="6">
        <v>3</v>
      </c>
      <c r="Q1" s="6">
        <v>4</v>
      </c>
      <c r="R1" s="6">
        <v>5</v>
      </c>
      <c r="S1" s="6">
        <v>6</v>
      </c>
      <c r="T1" s="6">
        <v>7</v>
      </c>
      <c r="U1" s="6">
        <v>8</v>
      </c>
    </row>
    <row r="2" spans="2:21" x14ac:dyDescent="0.35">
      <c r="D2" s="9"/>
      <c r="K2" s="5" t="s">
        <v>154</v>
      </c>
      <c r="L2" s="5" t="s">
        <v>155</v>
      </c>
      <c r="M2" s="5"/>
      <c r="N2" s="5">
        <f>N1</f>
        <v>1</v>
      </c>
      <c r="O2" s="5">
        <f t="shared" ref="O2:U2" si="0">O1</f>
        <v>2</v>
      </c>
      <c r="P2" s="5">
        <f t="shared" si="0"/>
        <v>3</v>
      </c>
      <c r="Q2" s="5">
        <f t="shared" si="0"/>
        <v>4</v>
      </c>
      <c r="R2" s="5">
        <f t="shared" si="0"/>
        <v>5</v>
      </c>
      <c r="S2" s="5">
        <f t="shared" si="0"/>
        <v>6</v>
      </c>
      <c r="T2" s="5">
        <f t="shared" si="0"/>
        <v>7</v>
      </c>
      <c r="U2" s="5">
        <f t="shared" si="0"/>
        <v>8</v>
      </c>
    </row>
    <row r="3" spans="2:21" x14ac:dyDescent="0.35">
      <c r="J3" s="7">
        <v>1</v>
      </c>
      <c r="K3" s="4">
        <f>ROUND(1000000*(1/J3),0)+30000</f>
        <v>1030000</v>
      </c>
      <c r="L3" s="4">
        <f>ROUND(K3/(5*4*8),0)</f>
        <v>6438</v>
      </c>
      <c r="M3" s="7">
        <v>1</v>
      </c>
      <c r="N3" s="4">
        <f t="shared" ref="N3:N34" si="1">L3+(N$1*$L3)/100</f>
        <v>6502.38</v>
      </c>
      <c r="O3" s="4">
        <f t="shared" ref="O3:U3" si="2">N3+(O$1*$L3)/100</f>
        <v>6631.14</v>
      </c>
      <c r="P3" s="4">
        <f t="shared" si="2"/>
        <v>6824.2800000000007</v>
      </c>
      <c r="Q3" s="4">
        <f t="shared" si="2"/>
        <v>7081.8000000000011</v>
      </c>
      <c r="R3" s="4">
        <f t="shared" si="2"/>
        <v>7403.7000000000007</v>
      </c>
      <c r="S3" s="4">
        <f t="shared" si="2"/>
        <v>7789.9800000000005</v>
      </c>
      <c r="T3" s="4">
        <f t="shared" si="2"/>
        <v>8240.6400000000012</v>
      </c>
      <c r="U3" s="4">
        <f t="shared" si="2"/>
        <v>8755.68</v>
      </c>
    </row>
    <row r="4" spans="2:21" x14ac:dyDescent="0.35">
      <c r="C4" s="5" t="s">
        <v>16</v>
      </c>
      <c r="D4" s="5" t="s">
        <v>32</v>
      </c>
      <c r="E4" s="5" t="s">
        <v>24</v>
      </c>
      <c r="F4" s="5" t="s">
        <v>42</v>
      </c>
      <c r="G4" s="5" t="s">
        <v>71</v>
      </c>
      <c r="H4" s="5" t="s">
        <v>35</v>
      </c>
      <c r="J4" s="7">
        <v>2</v>
      </c>
      <c r="K4" s="4">
        <f t="shared" ref="K4:K67" si="3">ROUND(1000000*(1/J4),0)+30000</f>
        <v>530000</v>
      </c>
      <c r="L4" s="4">
        <f t="shared" ref="L4:L67" si="4">ROUND(K4/(5*4*8),0)</f>
        <v>3313</v>
      </c>
      <c r="M4" s="7">
        <v>2</v>
      </c>
      <c r="N4" s="4">
        <f t="shared" si="1"/>
        <v>3346.13</v>
      </c>
      <c r="O4" s="4">
        <f t="shared" ref="O4:U4" si="5">N4+(O$1*$L4)/100</f>
        <v>3412.3900000000003</v>
      </c>
      <c r="P4" s="4">
        <f t="shared" si="5"/>
        <v>3511.78</v>
      </c>
      <c r="Q4" s="4">
        <f t="shared" si="5"/>
        <v>3644.3</v>
      </c>
      <c r="R4" s="4">
        <f t="shared" si="5"/>
        <v>3809.9500000000003</v>
      </c>
      <c r="S4" s="4">
        <f t="shared" si="5"/>
        <v>4008.7300000000005</v>
      </c>
      <c r="T4" s="4">
        <f t="shared" si="5"/>
        <v>4240.6400000000003</v>
      </c>
      <c r="U4" s="4">
        <f t="shared" si="5"/>
        <v>4505.68</v>
      </c>
    </row>
    <row r="5" spans="2:21" x14ac:dyDescent="0.35">
      <c r="B5" s="5" t="s">
        <v>48</v>
      </c>
      <c r="C5" s="4">
        <v>1</v>
      </c>
      <c r="D5" s="4">
        <v>2</v>
      </c>
      <c r="E5" s="4">
        <v>3</v>
      </c>
      <c r="F5" s="4">
        <v>4</v>
      </c>
      <c r="G5" s="4">
        <v>5</v>
      </c>
      <c r="H5" s="4">
        <v>6</v>
      </c>
      <c r="J5" s="7">
        <v>3</v>
      </c>
      <c r="K5" s="4">
        <f t="shared" si="3"/>
        <v>363333</v>
      </c>
      <c r="L5" s="4">
        <f t="shared" si="4"/>
        <v>2271</v>
      </c>
      <c r="M5" s="7">
        <v>3</v>
      </c>
      <c r="N5" s="4">
        <f t="shared" si="1"/>
        <v>2293.71</v>
      </c>
      <c r="O5" s="4">
        <f t="shared" ref="O5:U5" si="6">N5+(O$1*$L5)/100</f>
        <v>2339.13</v>
      </c>
      <c r="P5" s="4">
        <f t="shared" si="6"/>
        <v>2407.2600000000002</v>
      </c>
      <c r="Q5" s="4">
        <f t="shared" si="6"/>
        <v>2498.1000000000004</v>
      </c>
      <c r="R5" s="4">
        <f t="shared" si="6"/>
        <v>2611.6500000000005</v>
      </c>
      <c r="S5" s="4">
        <f t="shared" si="6"/>
        <v>2747.9100000000008</v>
      </c>
      <c r="T5" s="4">
        <f t="shared" si="6"/>
        <v>2906.8800000000006</v>
      </c>
      <c r="U5" s="4">
        <f t="shared" si="6"/>
        <v>3088.5600000000004</v>
      </c>
    </row>
    <row r="6" spans="2:21" x14ac:dyDescent="0.35">
      <c r="B6" s="5" t="s">
        <v>17</v>
      </c>
      <c r="C6" s="4">
        <v>2</v>
      </c>
      <c r="D6" s="4">
        <v>4</v>
      </c>
      <c r="E6" s="4">
        <v>6</v>
      </c>
      <c r="F6" s="4">
        <v>8</v>
      </c>
      <c r="G6" s="4">
        <v>10</v>
      </c>
      <c r="H6" s="4">
        <v>12</v>
      </c>
      <c r="J6" s="7">
        <v>4</v>
      </c>
      <c r="K6" s="4">
        <f t="shared" si="3"/>
        <v>280000</v>
      </c>
      <c r="L6" s="4">
        <f t="shared" si="4"/>
        <v>1750</v>
      </c>
      <c r="M6" s="7">
        <v>4</v>
      </c>
      <c r="N6" s="4">
        <f t="shared" si="1"/>
        <v>1767.5</v>
      </c>
      <c r="O6" s="4">
        <f t="shared" ref="O6:U6" si="7">N6+(O$1*$L6)/100</f>
        <v>1802.5</v>
      </c>
      <c r="P6" s="4">
        <f t="shared" si="7"/>
        <v>1855</v>
      </c>
      <c r="Q6" s="4">
        <f t="shared" si="7"/>
        <v>1925</v>
      </c>
      <c r="R6" s="4">
        <f t="shared" si="7"/>
        <v>2012.5</v>
      </c>
      <c r="S6" s="4">
        <f t="shared" si="7"/>
        <v>2117.5</v>
      </c>
      <c r="T6" s="4">
        <f t="shared" si="7"/>
        <v>2240</v>
      </c>
      <c r="U6" s="4">
        <f t="shared" si="7"/>
        <v>2380</v>
      </c>
    </row>
    <row r="7" spans="2:21" x14ac:dyDescent="0.35">
      <c r="B7" s="5" t="s">
        <v>36</v>
      </c>
      <c r="C7" s="4">
        <v>3</v>
      </c>
      <c r="D7" s="4">
        <v>6</v>
      </c>
      <c r="E7" s="4">
        <v>9</v>
      </c>
      <c r="F7" s="4">
        <v>12</v>
      </c>
      <c r="G7" s="4">
        <v>15</v>
      </c>
      <c r="H7" s="4">
        <v>18</v>
      </c>
      <c r="J7" s="7">
        <v>5</v>
      </c>
      <c r="K7" s="4">
        <f t="shared" si="3"/>
        <v>230000</v>
      </c>
      <c r="L7" s="4">
        <f t="shared" si="4"/>
        <v>1438</v>
      </c>
      <c r="M7" s="7">
        <v>5</v>
      </c>
      <c r="N7" s="4">
        <f t="shared" si="1"/>
        <v>1452.38</v>
      </c>
      <c r="O7" s="4">
        <f t="shared" ref="O7:U7" si="8">N7+(O$1*$L7)/100</f>
        <v>1481.14</v>
      </c>
      <c r="P7" s="4">
        <f t="shared" si="8"/>
        <v>1524.2800000000002</v>
      </c>
      <c r="Q7" s="4">
        <f t="shared" si="8"/>
        <v>1581.8000000000002</v>
      </c>
      <c r="R7" s="4">
        <f t="shared" si="8"/>
        <v>1653.7000000000003</v>
      </c>
      <c r="S7" s="4">
        <f t="shared" si="8"/>
        <v>1739.9800000000002</v>
      </c>
      <c r="T7" s="4">
        <f t="shared" si="8"/>
        <v>1840.6400000000003</v>
      </c>
      <c r="U7" s="4">
        <f t="shared" si="8"/>
        <v>1955.6800000000003</v>
      </c>
    </row>
    <row r="8" spans="2:21" x14ac:dyDescent="0.35">
      <c r="B8" s="5" t="s">
        <v>43</v>
      </c>
      <c r="C8" s="4">
        <v>4</v>
      </c>
      <c r="D8" s="4">
        <v>8</v>
      </c>
      <c r="E8" s="4">
        <v>12</v>
      </c>
      <c r="F8" s="4">
        <v>16</v>
      </c>
      <c r="G8" s="4">
        <v>20</v>
      </c>
      <c r="H8" s="4">
        <v>24</v>
      </c>
      <c r="J8" s="7">
        <v>6</v>
      </c>
      <c r="K8" s="4">
        <f t="shared" si="3"/>
        <v>196667</v>
      </c>
      <c r="L8" s="4">
        <f t="shared" si="4"/>
        <v>1229</v>
      </c>
      <c r="M8" s="7">
        <v>6</v>
      </c>
      <c r="N8" s="4">
        <f t="shared" si="1"/>
        <v>1241.29</v>
      </c>
      <c r="O8" s="4">
        <f t="shared" ref="O8:U8" si="9">N8+(O$1*$L8)/100</f>
        <v>1265.8699999999999</v>
      </c>
      <c r="P8" s="4">
        <f t="shared" si="9"/>
        <v>1302.7399999999998</v>
      </c>
      <c r="Q8" s="4">
        <f t="shared" si="9"/>
        <v>1351.8999999999999</v>
      </c>
      <c r="R8" s="4">
        <f t="shared" si="9"/>
        <v>1413.35</v>
      </c>
      <c r="S8" s="4">
        <f t="shared" si="9"/>
        <v>1487.09</v>
      </c>
      <c r="T8" s="4">
        <f t="shared" si="9"/>
        <v>1573.12</v>
      </c>
      <c r="U8" s="4">
        <f t="shared" si="9"/>
        <v>1671.4399999999998</v>
      </c>
    </row>
    <row r="9" spans="2:21" x14ac:dyDescent="0.35">
      <c r="B9" s="5" t="s">
        <v>33</v>
      </c>
      <c r="C9" s="4">
        <v>5</v>
      </c>
      <c r="D9" s="4">
        <v>10</v>
      </c>
      <c r="E9" s="4">
        <v>15</v>
      </c>
      <c r="F9" s="4">
        <v>20</v>
      </c>
      <c r="G9" s="4">
        <v>25</v>
      </c>
      <c r="H9" s="4">
        <v>30</v>
      </c>
      <c r="J9" s="7">
        <v>7</v>
      </c>
      <c r="K9" s="4">
        <f t="shared" si="3"/>
        <v>172857</v>
      </c>
      <c r="L9" s="4">
        <f t="shared" si="4"/>
        <v>1080</v>
      </c>
      <c r="M9" s="7">
        <v>7</v>
      </c>
      <c r="N9" s="4">
        <f t="shared" si="1"/>
        <v>1090.8</v>
      </c>
      <c r="O9" s="4">
        <f t="shared" ref="O9:U9" si="10">N9+(O$1*$L9)/100</f>
        <v>1112.3999999999999</v>
      </c>
      <c r="P9" s="4">
        <f t="shared" si="10"/>
        <v>1144.8</v>
      </c>
      <c r="Q9" s="4">
        <f t="shared" si="10"/>
        <v>1188</v>
      </c>
      <c r="R9" s="4">
        <f t="shared" si="10"/>
        <v>1242</v>
      </c>
      <c r="S9" s="4">
        <f t="shared" si="10"/>
        <v>1306.8</v>
      </c>
      <c r="T9" s="4">
        <f t="shared" si="10"/>
        <v>1382.3999999999999</v>
      </c>
      <c r="U9" s="4">
        <f t="shared" si="10"/>
        <v>1468.8</v>
      </c>
    </row>
    <row r="10" spans="2:21" x14ac:dyDescent="0.35">
      <c r="B10" s="5" t="s">
        <v>25</v>
      </c>
      <c r="C10" s="4">
        <v>6</v>
      </c>
      <c r="D10" s="4">
        <v>12</v>
      </c>
      <c r="E10" s="4">
        <v>18</v>
      </c>
      <c r="F10" s="4">
        <v>24</v>
      </c>
      <c r="G10" s="4">
        <v>30</v>
      </c>
      <c r="H10" s="4">
        <v>36</v>
      </c>
      <c r="J10" s="7">
        <v>8</v>
      </c>
      <c r="K10" s="4">
        <f t="shared" si="3"/>
        <v>155000</v>
      </c>
      <c r="L10" s="4">
        <f t="shared" si="4"/>
        <v>969</v>
      </c>
      <c r="M10" s="7">
        <v>8</v>
      </c>
      <c r="N10" s="4">
        <f t="shared" si="1"/>
        <v>978.69</v>
      </c>
      <c r="O10" s="4">
        <f t="shared" ref="O10:U10" si="11">N10+(O$1*$L10)/100</f>
        <v>998.07</v>
      </c>
      <c r="P10" s="4">
        <f t="shared" si="11"/>
        <v>1027.1400000000001</v>
      </c>
      <c r="Q10" s="4">
        <f t="shared" si="11"/>
        <v>1065.9000000000001</v>
      </c>
      <c r="R10" s="4">
        <f t="shared" si="11"/>
        <v>1114.3500000000001</v>
      </c>
      <c r="S10" s="4">
        <f t="shared" si="11"/>
        <v>1172.4900000000002</v>
      </c>
      <c r="T10" s="4">
        <f t="shared" si="11"/>
        <v>1240.3200000000002</v>
      </c>
      <c r="U10" s="4">
        <f t="shared" si="11"/>
        <v>1317.8400000000001</v>
      </c>
    </row>
    <row r="11" spans="2:21" x14ac:dyDescent="0.35">
      <c r="B11" s="5" t="s">
        <v>20</v>
      </c>
      <c r="C11" s="4">
        <v>7</v>
      </c>
      <c r="D11" s="4">
        <v>14</v>
      </c>
      <c r="E11" s="4">
        <v>21</v>
      </c>
      <c r="F11" s="4">
        <v>28</v>
      </c>
      <c r="G11" s="4">
        <v>35</v>
      </c>
      <c r="H11" s="4">
        <v>42</v>
      </c>
      <c r="J11" s="7">
        <v>9</v>
      </c>
      <c r="K11" s="4">
        <f t="shared" si="3"/>
        <v>141111</v>
      </c>
      <c r="L11" s="4">
        <f t="shared" si="4"/>
        <v>882</v>
      </c>
      <c r="M11" s="7">
        <v>9</v>
      </c>
      <c r="N11" s="4">
        <f t="shared" si="1"/>
        <v>890.82</v>
      </c>
      <c r="O11" s="4">
        <f t="shared" ref="O11:U11" si="12">N11+(O$1*$L11)/100</f>
        <v>908.46</v>
      </c>
      <c r="P11" s="4">
        <f t="shared" si="12"/>
        <v>934.92000000000007</v>
      </c>
      <c r="Q11" s="4">
        <f t="shared" si="12"/>
        <v>970.2</v>
      </c>
      <c r="R11" s="4">
        <f t="shared" si="12"/>
        <v>1014.3000000000001</v>
      </c>
      <c r="S11" s="4">
        <f t="shared" si="12"/>
        <v>1067.22</v>
      </c>
      <c r="T11" s="4">
        <f t="shared" si="12"/>
        <v>1128.96</v>
      </c>
      <c r="U11" s="4">
        <f t="shared" si="12"/>
        <v>1199.52</v>
      </c>
    </row>
    <row r="12" spans="2:21" x14ac:dyDescent="0.35">
      <c r="B12" s="5" t="s">
        <v>50</v>
      </c>
      <c r="C12" s="4">
        <v>8</v>
      </c>
      <c r="D12" s="4">
        <v>16</v>
      </c>
      <c r="E12" s="4">
        <v>24</v>
      </c>
      <c r="F12" s="4">
        <v>32</v>
      </c>
      <c r="G12" s="4">
        <v>40</v>
      </c>
      <c r="H12" s="4">
        <v>48</v>
      </c>
      <c r="J12" s="7">
        <v>10</v>
      </c>
      <c r="K12" s="4">
        <f t="shared" si="3"/>
        <v>130000</v>
      </c>
      <c r="L12" s="4">
        <f t="shared" si="4"/>
        <v>813</v>
      </c>
      <c r="M12" s="7">
        <v>10</v>
      </c>
      <c r="N12" s="4">
        <f t="shared" si="1"/>
        <v>821.13</v>
      </c>
      <c r="O12" s="4">
        <f t="shared" ref="O12:U12" si="13">N12+(O$1*$L12)/100</f>
        <v>837.39</v>
      </c>
      <c r="P12" s="4">
        <f t="shared" si="13"/>
        <v>861.78</v>
      </c>
      <c r="Q12" s="4">
        <f t="shared" si="13"/>
        <v>894.3</v>
      </c>
      <c r="R12" s="4">
        <f t="shared" si="13"/>
        <v>934.94999999999993</v>
      </c>
      <c r="S12" s="4">
        <f t="shared" si="13"/>
        <v>983.7299999999999</v>
      </c>
      <c r="T12" s="4">
        <f t="shared" si="13"/>
        <v>1040.6399999999999</v>
      </c>
      <c r="U12" s="4">
        <f t="shared" si="13"/>
        <v>1105.6799999999998</v>
      </c>
    </row>
    <row r="13" spans="2:21" x14ac:dyDescent="0.35">
      <c r="B13" s="5" t="s">
        <v>54</v>
      </c>
      <c r="C13" s="4">
        <v>9</v>
      </c>
      <c r="D13" s="4">
        <v>18</v>
      </c>
      <c r="E13" s="4">
        <v>27</v>
      </c>
      <c r="F13" s="4">
        <v>36</v>
      </c>
      <c r="G13" s="4">
        <v>45</v>
      </c>
      <c r="H13" s="4">
        <v>54</v>
      </c>
      <c r="J13" s="7">
        <v>11</v>
      </c>
      <c r="K13" s="4">
        <f t="shared" si="3"/>
        <v>120909</v>
      </c>
      <c r="L13" s="4">
        <f t="shared" si="4"/>
        <v>756</v>
      </c>
      <c r="M13" s="7">
        <v>11</v>
      </c>
      <c r="N13" s="4">
        <f t="shared" si="1"/>
        <v>763.56</v>
      </c>
      <c r="O13" s="4">
        <f t="shared" ref="O13:U13" si="14">N13+(O$1*$L13)/100</f>
        <v>778.68</v>
      </c>
      <c r="P13" s="4">
        <f t="shared" si="14"/>
        <v>801.3599999999999</v>
      </c>
      <c r="Q13" s="4">
        <f t="shared" si="14"/>
        <v>831.59999999999991</v>
      </c>
      <c r="R13" s="4">
        <f t="shared" si="14"/>
        <v>869.39999999999986</v>
      </c>
      <c r="S13" s="4">
        <f t="shared" si="14"/>
        <v>914.75999999999988</v>
      </c>
      <c r="T13" s="4">
        <f t="shared" si="14"/>
        <v>967.67999999999984</v>
      </c>
      <c r="U13" s="4">
        <f t="shared" si="14"/>
        <v>1028.1599999999999</v>
      </c>
    </row>
    <row r="14" spans="2:21" x14ac:dyDescent="0.35">
      <c r="B14" s="5" t="s">
        <v>52</v>
      </c>
      <c r="C14" s="4">
        <v>10</v>
      </c>
      <c r="D14" s="4">
        <v>20</v>
      </c>
      <c r="E14" s="4">
        <v>30</v>
      </c>
      <c r="F14" s="4">
        <v>40</v>
      </c>
      <c r="G14" s="4">
        <v>50</v>
      </c>
      <c r="H14" s="4">
        <v>60</v>
      </c>
      <c r="J14" s="7">
        <v>12</v>
      </c>
      <c r="K14" s="4">
        <f t="shared" si="3"/>
        <v>113333</v>
      </c>
      <c r="L14" s="4">
        <f t="shared" si="4"/>
        <v>708</v>
      </c>
      <c r="M14" s="7">
        <v>12</v>
      </c>
      <c r="N14" s="4">
        <f t="shared" si="1"/>
        <v>715.08</v>
      </c>
      <c r="O14" s="4">
        <f t="shared" ref="O14:U14" si="15">N14+(O$1*$L14)/100</f>
        <v>729.24</v>
      </c>
      <c r="P14" s="4">
        <f t="shared" si="15"/>
        <v>750.48</v>
      </c>
      <c r="Q14" s="4">
        <f t="shared" si="15"/>
        <v>778.80000000000007</v>
      </c>
      <c r="R14" s="4">
        <f t="shared" si="15"/>
        <v>814.2</v>
      </c>
      <c r="S14" s="4">
        <f t="shared" si="15"/>
        <v>856.68000000000006</v>
      </c>
      <c r="T14" s="4">
        <f t="shared" si="15"/>
        <v>906.24</v>
      </c>
      <c r="U14" s="4">
        <f t="shared" si="15"/>
        <v>962.88</v>
      </c>
    </row>
    <row r="15" spans="2:21" x14ac:dyDescent="0.35">
      <c r="B15" s="5" t="s">
        <v>40</v>
      </c>
      <c r="C15" s="4">
        <v>11</v>
      </c>
      <c r="D15" s="4">
        <v>22</v>
      </c>
      <c r="E15" s="4">
        <v>33</v>
      </c>
      <c r="F15" s="4">
        <v>44</v>
      </c>
      <c r="G15" s="4">
        <v>55</v>
      </c>
      <c r="H15" s="4">
        <v>66</v>
      </c>
      <c r="J15" s="7">
        <v>13</v>
      </c>
      <c r="K15" s="4">
        <f t="shared" si="3"/>
        <v>106923</v>
      </c>
      <c r="L15" s="4">
        <f t="shared" si="4"/>
        <v>668</v>
      </c>
      <c r="M15" s="7">
        <v>13</v>
      </c>
      <c r="N15" s="4">
        <f t="shared" si="1"/>
        <v>674.68</v>
      </c>
      <c r="O15" s="4">
        <f t="shared" ref="O15:U15" si="16">N15+(O$1*$L15)/100</f>
        <v>688.04</v>
      </c>
      <c r="P15" s="4">
        <f t="shared" si="16"/>
        <v>708.07999999999993</v>
      </c>
      <c r="Q15" s="4">
        <f t="shared" si="16"/>
        <v>734.8</v>
      </c>
      <c r="R15" s="4">
        <f t="shared" si="16"/>
        <v>768.19999999999993</v>
      </c>
      <c r="S15" s="4">
        <f t="shared" si="16"/>
        <v>808.28</v>
      </c>
      <c r="T15" s="4">
        <f t="shared" si="16"/>
        <v>855.04</v>
      </c>
      <c r="U15" s="4">
        <f t="shared" si="16"/>
        <v>908.48</v>
      </c>
    </row>
    <row r="16" spans="2:21" x14ac:dyDescent="0.35">
      <c r="J16" s="7">
        <v>14</v>
      </c>
      <c r="K16" s="4">
        <f t="shared" si="3"/>
        <v>101429</v>
      </c>
      <c r="L16" s="4">
        <f t="shared" si="4"/>
        <v>634</v>
      </c>
      <c r="M16" s="7">
        <v>14</v>
      </c>
      <c r="N16" s="4">
        <f t="shared" si="1"/>
        <v>640.34</v>
      </c>
      <c r="O16" s="4">
        <f t="shared" ref="O16:U16" si="17">N16+(O$1*$L16)/100</f>
        <v>653.02</v>
      </c>
      <c r="P16" s="4">
        <f t="shared" si="17"/>
        <v>672.04</v>
      </c>
      <c r="Q16" s="4">
        <f t="shared" si="17"/>
        <v>697.4</v>
      </c>
      <c r="R16" s="4">
        <f t="shared" si="17"/>
        <v>729.1</v>
      </c>
      <c r="S16" s="4">
        <f t="shared" si="17"/>
        <v>767.14</v>
      </c>
      <c r="T16" s="4">
        <f t="shared" si="17"/>
        <v>811.52</v>
      </c>
      <c r="U16" s="4">
        <f t="shared" si="17"/>
        <v>862.24</v>
      </c>
    </row>
    <row r="17" spans="10:21" x14ac:dyDescent="0.35">
      <c r="J17" s="7">
        <v>15</v>
      </c>
      <c r="K17" s="4">
        <f t="shared" si="3"/>
        <v>96667</v>
      </c>
      <c r="L17" s="4">
        <f t="shared" si="4"/>
        <v>604</v>
      </c>
      <c r="M17" s="7">
        <v>15</v>
      </c>
      <c r="N17" s="4">
        <f t="shared" si="1"/>
        <v>610.04</v>
      </c>
      <c r="O17" s="4">
        <f t="shared" ref="O17:U17" si="18">N17+(O$1*$L17)/100</f>
        <v>622.12</v>
      </c>
      <c r="P17" s="4">
        <f t="shared" si="18"/>
        <v>640.24</v>
      </c>
      <c r="Q17" s="4">
        <f t="shared" si="18"/>
        <v>664.4</v>
      </c>
      <c r="R17" s="4">
        <f t="shared" si="18"/>
        <v>694.6</v>
      </c>
      <c r="S17" s="4">
        <f t="shared" si="18"/>
        <v>730.84</v>
      </c>
      <c r="T17" s="4">
        <f t="shared" si="18"/>
        <v>773.12</v>
      </c>
      <c r="U17" s="4">
        <f t="shared" si="18"/>
        <v>821.44</v>
      </c>
    </row>
    <row r="18" spans="10:21" x14ac:dyDescent="0.35">
      <c r="J18" s="7">
        <v>16</v>
      </c>
      <c r="K18" s="4">
        <f t="shared" si="3"/>
        <v>92500</v>
      </c>
      <c r="L18" s="4">
        <f t="shared" si="4"/>
        <v>578</v>
      </c>
      <c r="M18" s="7">
        <v>16</v>
      </c>
      <c r="N18" s="4">
        <f t="shared" si="1"/>
        <v>583.78</v>
      </c>
      <c r="O18" s="4">
        <f t="shared" ref="O18:U18" si="19">N18+(O$1*$L18)/100</f>
        <v>595.33999999999992</v>
      </c>
      <c r="P18" s="4">
        <f t="shared" si="19"/>
        <v>612.67999999999995</v>
      </c>
      <c r="Q18" s="4">
        <f t="shared" si="19"/>
        <v>635.79999999999995</v>
      </c>
      <c r="R18" s="4">
        <f t="shared" si="19"/>
        <v>664.69999999999993</v>
      </c>
      <c r="S18" s="4">
        <f t="shared" si="19"/>
        <v>699.37999999999988</v>
      </c>
      <c r="T18" s="4">
        <f t="shared" si="19"/>
        <v>739.83999999999992</v>
      </c>
      <c r="U18" s="4">
        <f t="shared" si="19"/>
        <v>786.07999999999993</v>
      </c>
    </row>
    <row r="19" spans="10:21" x14ac:dyDescent="0.35">
      <c r="J19" s="7">
        <v>17</v>
      </c>
      <c r="K19" s="4">
        <f t="shared" si="3"/>
        <v>88824</v>
      </c>
      <c r="L19" s="4">
        <f t="shared" si="4"/>
        <v>555</v>
      </c>
      <c r="M19" s="7">
        <v>17</v>
      </c>
      <c r="N19" s="4">
        <f t="shared" si="1"/>
        <v>560.54999999999995</v>
      </c>
      <c r="O19" s="4">
        <f t="shared" ref="O19:U19" si="20">N19+(O$1*$L19)/100</f>
        <v>571.65</v>
      </c>
      <c r="P19" s="4">
        <f t="shared" si="20"/>
        <v>588.29999999999995</v>
      </c>
      <c r="Q19" s="4">
        <f t="shared" si="20"/>
        <v>610.5</v>
      </c>
      <c r="R19" s="4">
        <f t="shared" si="20"/>
        <v>638.25</v>
      </c>
      <c r="S19" s="4">
        <f t="shared" si="20"/>
        <v>671.55</v>
      </c>
      <c r="T19" s="4">
        <f t="shared" si="20"/>
        <v>710.4</v>
      </c>
      <c r="U19" s="4">
        <f t="shared" si="20"/>
        <v>754.8</v>
      </c>
    </row>
    <row r="20" spans="10:21" x14ac:dyDescent="0.35">
      <c r="J20" s="7">
        <v>18</v>
      </c>
      <c r="K20" s="4">
        <f t="shared" si="3"/>
        <v>85556</v>
      </c>
      <c r="L20" s="4">
        <f t="shared" si="4"/>
        <v>535</v>
      </c>
      <c r="M20" s="7">
        <v>18</v>
      </c>
      <c r="N20" s="4">
        <f t="shared" si="1"/>
        <v>540.35</v>
      </c>
      <c r="O20" s="4">
        <f t="shared" ref="O20:U20" si="21">N20+(O$1*$L20)/100</f>
        <v>551.05000000000007</v>
      </c>
      <c r="P20" s="4">
        <f t="shared" si="21"/>
        <v>567.1</v>
      </c>
      <c r="Q20" s="4">
        <f t="shared" si="21"/>
        <v>588.5</v>
      </c>
      <c r="R20" s="4">
        <f t="shared" si="21"/>
        <v>615.25</v>
      </c>
      <c r="S20" s="4">
        <f t="shared" si="21"/>
        <v>647.35</v>
      </c>
      <c r="T20" s="4">
        <f t="shared" si="21"/>
        <v>684.80000000000007</v>
      </c>
      <c r="U20" s="4">
        <f t="shared" si="21"/>
        <v>727.6</v>
      </c>
    </row>
    <row r="21" spans="10:21" x14ac:dyDescent="0.35">
      <c r="J21" s="7">
        <v>19</v>
      </c>
      <c r="K21" s="4">
        <f t="shared" si="3"/>
        <v>82632</v>
      </c>
      <c r="L21" s="4">
        <f t="shared" si="4"/>
        <v>516</v>
      </c>
      <c r="M21" s="7">
        <v>19</v>
      </c>
      <c r="N21" s="4">
        <f t="shared" si="1"/>
        <v>521.16</v>
      </c>
      <c r="O21" s="4">
        <f t="shared" ref="O21:U21" si="22">N21+(O$1*$L21)/100</f>
        <v>531.48</v>
      </c>
      <c r="P21" s="4">
        <f t="shared" si="22"/>
        <v>546.96</v>
      </c>
      <c r="Q21" s="4">
        <f t="shared" si="22"/>
        <v>567.6</v>
      </c>
      <c r="R21" s="4">
        <f t="shared" si="22"/>
        <v>593.4</v>
      </c>
      <c r="S21" s="4">
        <f t="shared" si="22"/>
        <v>624.36</v>
      </c>
      <c r="T21" s="4">
        <f t="shared" si="22"/>
        <v>660.48</v>
      </c>
      <c r="U21" s="4">
        <f t="shared" si="22"/>
        <v>701.76</v>
      </c>
    </row>
    <row r="22" spans="10:21" x14ac:dyDescent="0.35">
      <c r="J22" s="7">
        <v>20</v>
      </c>
      <c r="K22" s="4">
        <f t="shared" si="3"/>
        <v>80000</v>
      </c>
      <c r="L22" s="4">
        <f t="shared" si="4"/>
        <v>500</v>
      </c>
      <c r="M22" s="7">
        <v>20</v>
      </c>
      <c r="N22" s="4">
        <f t="shared" si="1"/>
        <v>505</v>
      </c>
      <c r="O22" s="4">
        <f t="shared" ref="O22:U22" si="23">N22+(O$1*$L22)/100</f>
        <v>515</v>
      </c>
      <c r="P22" s="4">
        <f t="shared" si="23"/>
        <v>530</v>
      </c>
      <c r="Q22" s="4">
        <f t="shared" si="23"/>
        <v>550</v>
      </c>
      <c r="R22" s="4">
        <f t="shared" si="23"/>
        <v>575</v>
      </c>
      <c r="S22" s="4">
        <f t="shared" si="23"/>
        <v>605</v>
      </c>
      <c r="T22" s="4">
        <f t="shared" si="23"/>
        <v>640</v>
      </c>
      <c r="U22" s="4">
        <f t="shared" si="23"/>
        <v>680</v>
      </c>
    </row>
    <row r="23" spans="10:21" x14ac:dyDescent="0.35">
      <c r="J23" s="7">
        <v>21</v>
      </c>
      <c r="K23" s="4">
        <f t="shared" si="3"/>
        <v>77619</v>
      </c>
      <c r="L23" s="4">
        <f t="shared" si="4"/>
        <v>485</v>
      </c>
      <c r="M23" s="7">
        <v>21</v>
      </c>
      <c r="N23" s="4">
        <f t="shared" si="1"/>
        <v>489.85</v>
      </c>
      <c r="O23" s="4">
        <f t="shared" ref="O23:U23" si="24">N23+(O$1*$L23)/100</f>
        <v>499.55</v>
      </c>
      <c r="P23" s="4">
        <f t="shared" si="24"/>
        <v>514.1</v>
      </c>
      <c r="Q23" s="4">
        <f t="shared" si="24"/>
        <v>533.5</v>
      </c>
      <c r="R23" s="4">
        <f t="shared" si="24"/>
        <v>557.75</v>
      </c>
      <c r="S23" s="4">
        <f t="shared" si="24"/>
        <v>586.85</v>
      </c>
      <c r="T23" s="4">
        <f t="shared" si="24"/>
        <v>620.80000000000007</v>
      </c>
      <c r="U23" s="4">
        <f t="shared" si="24"/>
        <v>659.6</v>
      </c>
    </row>
    <row r="24" spans="10:21" x14ac:dyDescent="0.35">
      <c r="J24" s="7">
        <v>22</v>
      </c>
      <c r="K24" s="4">
        <f t="shared" si="3"/>
        <v>75455</v>
      </c>
      <c r="L24" s="4">
        <f t="shared" si="4"/>
        <v>472</v>
      </c>
      <c r="M24" s="7">
        <v>22</v>
      </c>
      <c r="N24" s="4">
        <f t="shared" si="1"/>
        <v>476.72</v>
      </c>
      <c r="O24" s="4">
        <f t="shared" ref="O24:U24" si="25">N24+(O$1*$L24)/100</f>
        <v>486.16</v>
      </c>
      <c r="P24" s="4">
        <f t="shared" si="25"/>
        <v>500.32000000000005</v>
      </c>
      <c r="Q24" s="4">
        <f t="shared" si="25"/>
        <v>519.20000000000005</v>
      </c>
      <c r="R24" s="4">
        <f t="shared" si="25"/>
        <v>542.80000000000007</v>
      </c>
      <c r="S24" s="4">
        <f t="shared" si="25"/>
        <v>571.12000000000012</v>
      </c>
      <c r="T24" s="4">
        <f t="shared" si="25"/>
        <v>604.16000000000008</v>
      </c>
      <c r="U24" s="4">
        <f t="shared" si="25"/>
        <v>641.92000000000007</v>
      </c>
    </row>
    <row r="25" spans="10:21" x14ac:dyDescent="0.35">
      <c r="J25" s="7">
        <v>23</v>
      </c>
      <c r="K25" s="4">
        <f t="shared" si="3"/>
        <v>73478</v>
      </c>
      <c r="L25" s="4">
        <f t="shared" si="4"/>
        <v>459</v>
      </c>
      <c r="M25" s="7">
        <v>23</v>
      </c>
      <c r="N25" s="4">
        <f t="shared" si="1"/>
        <v>463.59</v>
      </c>
      <c r="O25" s="4">
        <f t="shared" ref="O25:U25" si="26">N25+(O$1*$L25)/100</f>
        <v>472.77</v>
      </c>
      <c r="P25" s="4">
        <f t="shared" si="26"/>
        <v>486.53999999999996</v>
      </c>
      <c r="Q25" s="4">
        <f t="shared" si="26"/>
        <v>504.9</v>
      </c>
      <c r="R25" s="4">
        <f t="shared" si="26"/>
        <v>527.85</v>
      </c>
      <c r="S25" s="4">
        <f t="shared" si="26"/>
        <v>555.39</v>
      </c>
      <c r="T25" s="4">
        <f t="shared" si="26"/>
        <v>587.52</v>
      </c>
      <c r="U25" s="4">
        <f t="shared" si="26"/>
        <v>624.24</v>
      </c>
    </row>
    <row r="26" spans="10:21" x14ac:dyDescent="0.35">
      <c r="J26" s="7">
        <v>24</v>
      </c>
      <c r="K26" s="4">
        <f t="shared" si="3"/>
        <v>71667</v>
      </c>
      <c r="L26" s="4">
        <f t="shared" si="4"/>
        <v>448</v>
      </c>
      <c r="M26" s="7">
        <v>24</v>
      </c>
      <c r="N26" s="4">
        <f t="shared" si="1"/>
        <v>452.48</v>
      </c>
      <c r="O26" s="4">
        <f t="shared" ref="O26:U26" si="27">N26+(O$1*$L26)/100</f>
        <v>461.44</v>
      </c>
      <c r="P26" s="4">
        <f t="shared" si="27"/>
        <v>474.88</v>
      </c>
      <c r="Q26" s="4">
        <f t="shared" si="27"/>
        <v>492.8</v>
      </c>
      <c r="R26" s="4">
        <f t="shared" si="27"/>
        <v>515.20000000000005</v>
      </c>
      <c r="S26" s="4">
        <f t="shared" si="27"/>
        <v>542.08000000000004</v>
      </c>
      <c r="T26" s="4">
        <f t="shared" si="27"/>
        <v>573.44000000000005</v>
      </c>
      <c r="U26" s="4">
        <f t="shared" si="27"/>
        <v>609.28000000000009</v>
      </c>
    </row>
    <row r="27" spans="10:21" x14ac:dyDescent="0.35">
      <c r="J27" s="7">
        <v>25</v>
      </c>
      <c r="K27" s="4">
        <f t="shared" si="3"/>
        <v>70000</v>
      </c>
      <c r="L27" s="4">
        <f t="shared" si="4"/>
        <v>438</v>
      </c>
      <c r="M27" s="7">
        <v>25</v>
      </c>
      <c r="N27" s="4">
        <f t="shared" si="1"/>
        <v>442.38</v>
      </c>
      <c r="O27" s="4">
        <f t="shared" ref="O27:U27" si="28">N27+(O$1*$L27)/100</f>
        <v>451.14</v>
      </c>
      <c r="P27" s="4">
        <f t="shared" si="28"/>
        <v>464.28</v>
      </c>
      <c r="Q27" s="4">
        <f t="shared" si="28"/>
        <v>481.79999999999995</v>
      </c>
      <c r="R27" s="4">
        <f t="shared" si="28"/>
        <v>503.69999999999993</v>
      </c>
      <c r="S27" s="4">
        <f t="shared" si="28"/>
        <v>529.9799999999999</v>
      </c>
      <c r="T27" s="4">
        <f t="shared" si="28"/>
        <v>560.63999999999987</v>
      </c>
      <c r="U27" s="4">
        <f t="shared" si="28"/>
        <v>595.67999999999984</v>
      </c>
    </row>
    <row r="28" spans="10:21" x14ac:dyDescent="0.35">
      <c r="J28" s="7">
        <v>26</v>
      </c>
      <c r="K28" s="4">
        <f t="shared" si="3"/>
        <v>68462</v>
      </c>
      <c r="L28" s="4">
        <f t="shared" si="4"/>
        <v>428</v>
      </c>
      <c r="M28" s="7">
        <v>26</v>
      </c>
      <c r="N28" s="4">
        <f t="shared" si="1"/>
        <v>432.28</v>
      </c>
      <c r="O28" s="4">
        <f t="shared" ref="O28:U28" si="29">N28+(O$1*$L28)/100</f>
        <v>440.84</v>
      </c>
      <c r="P28" s="4">
        <f t="shared" si="29"/>
        <v>453.67999999999995</v>
      </c>
      <c r="Q28" s="4">
        <f t="shared" si="29"/>
        <v>470.79999999999995</v>
      </c>
      <c r="R28" s="4">
        <f t="shared" si="29"/>
        <v>492.19999999999993</v>
      </c>
      <c r="S28" s="4">
        <f t="shared" si="29"/>
        <v>517.87999999999988</v>
      </c>
      <c r="T28" s="4">
        <f t="shared" si="29"/>
        <v>547.83999999999992</v>
      </c>
      <c r="U28" s="4">
        <f t="shared" si="29"/>
        <v>582.07999999999993</v>
      </c>
    </row>
    <row r="29" spans="10:21" x14ac:dyDescent="0.35">
      <c r="J29" s="7">
        <v>27</v>
      </c>
      <c r="K29" s="4">
        <f t="shared" si="3"/>
        <v>67037</v>
      </c>
      <c r="L29" s="4">
        <f t="shared" si="4"/>
        <v>419</v>
      </c>
      <c r="M29" s="7">
        <v>27</v>
      </c>
      <c r="N29" s="4">
        <f t="shared" si="1"/>
        <v>423.19</v>
      </c>
      <c r="O29" s="4">
        <f t="shared" ref="O29:U29" si="30">N29+(O$1*$L29)/100</f>
        <v>431.57</v>
      </c>
      <c r="P29" s="4">
        <f t="shared" si="30"/>
        <v>444.14</v>
      </c>
      <c r="Q29" s="4">
        <f t="shared" si="30"/>
        <v>460.9</v>
      </c>
      <c r="R29" s="4">
        <f t="shared" si="30"/>
        <v>481.84999999999997</v>
      </c>
      <c r="S29" s="4">
        <f t="shared" si="30"/>
        <v>506.98999999999995</v>
      </c>
      <c r="T29" s="4">
        <f t="shared" si="30"/>
        <v>536.31999999999994</v>
      </c>
      <c r="U29" s="4">
        <f t="shared" si="30"/>
        <v>569.83999999999992</v>
      </c>
    </row>
    <row r="30" spans="10:21" x14ac:dyDescent="0.35">
      <c r="J30" s="7">
        <v>28</v>
      </c>
      <c r="K30" s="4">
        <f t="shared" si="3"/>
        <v>65714</v>
      </c>
      <c r="L30" s="4">
        <f t="shared" si="4"/>
        <v>411</v>
      </c>
      <c r="M30" s="7">
        <v>28</v>
      </c>
      <c r="N30" s="4">
        <f t="shared" si="1"/>
        <v>415.11</v>
      </c>
      <c r="O30" s="4">
        <f t="shared" ref="O30:U30" si="31">N30+(O$1*$L30)/100</f>
        <v>423.33000000000004</v>
      </c>
      <c r="P30" s="4">
        <f t="shared" si="31"/>
        <v>435.66</v>
      </c>
      <c r="Q30" s="4">
        <f t="shared" si="31"/>
        <v>452.1</v>
      </c>
      <c r="R30" s="4">
        <f t="shared" si="31"/>
        <v>472.65000000000003</v>
      </c>
      <c r="S30" s="4">
        <f t="shared" si="31"/>
        <v>497.31000000000006</v>
      </c>
      <c r="T30" s="4">
        <f t="shared" si="31"/>
        <v>526.08000000000004</v>
      </c>
      <c r="U30" s="4">
        <f t="shared" si="31"/>
        <v>558.96</v>
      </c>
    </row>
    <row r="31" spans="10:21" x14ac:dyDescent="0.35">
      <c r="J31" s="7">
        <v>29</v>
      </c>
      <c r="K31" s="4">
        <f t="shared" si="3"/>
        <v>64483</v>
      </c>
      <c r="L31" s="4">
        <f t="shared" si="4"/>
        <v>403</v>
      </c>
      <c r="M31" s="7">
        <v>29</v>
      </c>
      <c r="N31" s="4">
        <f t="shared" si="1"/>
        <v>407.03</v>
      </c>
      <c r="O31" s="4">
        <f t="shared" ref="O31:U31" si="32">N31+(O$1*$L31)/100</f>
        <v>415.09</v>
      </c>
      <c r="P31" s="4">
        <f t="shared" si="32"/>
        <v>427.17999999999995</v>
      </c>
      <c r="Q31" s="4">
        <f t="shared" si="32"/>
        <v>443.29999999999995</v>
      </c>
      <c r="R31" s="4">
        <f t="shared" si="32"/>
        <v>463.44999999999993</v>
      </c>
      <c r="S31" s="4">
        <f t="shared" si="32"/>
        <v>487.62999999999994</v>
      </c>
      <c r="T31" s="4">
        <f t="shared" si="32"/>
        <v>515.83999999999992</v>
      </c>
      <c r="U31" s="4">
        <f t="shared" si="32"/>
        <v>548.07999999999993</v>
      </c>
    </row>
    <row r="32" spans="10:21" x14ac:dyDescent="0.35">
      <c r="J32" s="7">
        <v>30</v>
      </c>
      <c r="K32" s="4">
        <f t="shared" si="3"/>
        <v>63333</v>
      </c>
      <c r="L32" s="4">
        <f t="shared" si="4"/>
        <v>396</v>
      </c>
      <c r="M32" s="7">
        <v>30</v>
      </c>
      <c r="N32" s="4">
        <f t="shared" si="1"/>
        <v>399.96</v>
      </c>
      <c r="O32" s="4">
        <f t="shared" ref="O32:U32" si="33">N32+(O$1*$L32)/100</f>
        <v>407.88</v>
      </c>
      <c r="P32" s="4">
        <f t="shared" si="33"/>
        <v>419.76</v>
      </c>
      <c r="Q32" s="4">
        <f t="shared" si="33"/>
        <v>435.59999999999997</v>
      </c>
      <c r="R32" s="4">
        <f t="shared" si="33"/>
        <v>455.4</v>
      </c>
      <c r="S32" s="4">
        <f t="shared" si="33"/>
        <v>479.15999999999997</v>
      </c>
      <c r="T32" s="4">
        <f t="shared" si="33"/>
        <v>506.88</v>
      </c>
      <c r="U32" s="4">
        <f t="shared" si="33"/>
        <v>538.55999999999995</v>
      </c>
    </row>
    <row r="33" spans="10:21" x14ac:dyDescent="0.35">
      <c r="J33" s="7">
        <v>31</v>
      </c>
      <c r="K33" s="4">
        <f t="shared" si="3"/>
        <v>62258</v>
      </c>
      <c r="L33" s="4">
        <f t="shared" si="4"/>
        <v>389</v>
      </c>
      <c r="M33" s="7">
        <v>31</v>
      </c>
      <c r="N33" s="4">
        <f t="shared" si="1"/>
        <v>392.89</v>
      </c>
      <c r="O33" s="4">
        <f t="shared" ref="O33:U33" si="34">N33+(O$1*$L33)/100</f>
        <v>400.66999999999996</v>
      </c>
      <c r="P33" s="4">
        <f t="shared" si="34"/>
        <v>412.34</v>
      </c>
      <c r="Q33" s="4">
        <f t="shared" si="34"/>
        <v>427.9</v>
      </c>
      <c r="R33" s="4">
        <f t="shared" si="34"/>
        <v>447.34999999999997</v>
      </c>
      <c r="S33" s="4">
        <f t="shared" si="34"/>
        <v>470.68999999999994</v>
      </c>
      <c r="T33" s="4">
        <f t="shared" si="34"/>
        <v>497.91999999999996</v>
      </c>
      <c r="U33" s="4">
        <f t="shared" si="34"/>
        <v>529.04</v>
      </c>
    </row>
    <row r="34" spans="10:21" x14ac:dyDescent="0.35">
      <c r="J34" s="7">
        <v>32</v>
      </c>
      <c r="K34" s="4">
        <f t="shared" si="3"/>
        <v>61250</v>
      </c>
      <c r="L34" s="4">
        <f t="shared" si="4"/>
        <v>383</v>
      </c>
      <c r="M34" s="7">
        <v>32</v>
      </c>
      <c r="N34" s="4">
        <f t="shared" si="1"/>
        <v>386.83</v>
      </c>
      <c r="O34" s="4">
        <f t="shared" ref="O34:U34" si="35">N34+(O$1*$L34)/100</f>
        <v>394.49</v>
      </c>
      <c r="P34" s="4">
        <f t="shared" si="35"/>
        <v>405.98</v>
      </c>
      <c r="Q34" s="4">
        <f t="shared" si="35"/>
        <v>421.3</v>
      </c>
      <c r="R34" s="4">
        <f t="shared" si="35"/>
        <v>440.45</v>
      </c>
      <c r="S34" s="4">
        <f t="shared" si="35"/>
        <v>463.43</v>
      </c>
      <c r="T34" s="4">
        <f t="shared" si="35"/>
        <v>490.24</v>
      </c>
      <c r="U34" s="4">
        <f t="shared" si="35"/>
        <v>520.88</v>
      </c>
    </row>
    <row r="35" spans="10:21" x14ac:dyDescent="0.35">
      <c r="J35" s="7">
        <v>33</v>
      </c>
      <c r="K35" s="4">
        <f t="shared" si="3"/>
        <v>60303</v>
      </c>
      <c r="L35" s="4">
        <f t="shared" si="4"/>
        <v>377</v>
      </c>
      <c r="M35" s="7">
        <v>33</v>
      </c>
      <c r="N35" s="4">
        <f t="shared" ref="N35:N68" si="36">L35+(N$1*$L35)/100</f>
        <v>380.77</v>
      </c>
      <c r="O35" s="4">
        <f t="shared" ref="O35:U35" si="37">N35+(O$1*$L35)/100</f>
        <v>388.31</v>
      </c>
      <c r="P35" s="4">
        <f t="shared" si="37"/>
        <v>399.62</v>
      </c>
      <c r="Q35" s="4">
        <f t="shared" si="37"/>
        <v>414.7</v>
      </c>
      <c r="R35" s="4">
        <f t="shared" si="37"/>
        <v>433.55</v>
      </c>
      <c r="S35" s="4">
        <f t="shared" si="37"/>
        <v>456.17</v>
      </c>
      <c r="T35" s="4">
        <f t="shared" si="37"/>
        <v>482.56</v>
      </c>
      <c r="U35" s="4">
        <f t="shared" si="37"/>
        <v>512.72</v>
      </c>
    </row>
    <row r="36" spans="10:21" x14ac:dyDescent="0.35">
      <c r="J36" s="7">
        <v>34</v>
      </c>
      <c r="K36" s="4">
        <f t="shared" si="3"/>
        <v>59412</v>
      </c>
      <c r="L36" s="4">
        <f t="shared" si="4"/>
        <v>371</v>
      </c>
      <c r="M36" s="7">
        <v>34</v>
      </c>
      <c r="N36" s="4">
        <f t="shared" si="36"/>
        <v>374.71</v>
      </c>
      <c r="O36" s="4">
        <f t="shared" ref="O36:U36" si="38">N36+(O$1*$L36)/100</f>
        <v>382.13</v>
      </c>
      <c r="P36" s="4">
        <f t="shared" si="38"/>
        <v>393.26</v>
      </c>
      <c r="Q36" s="4">
        <f t="shared" si="38"/>
        <v>408.09999999999997</v>
      </c>
      <c r="R36" s="4">
        <f t="shared" si="38"/>
        <v>426.65</v>
      </c>
      <c r="S36" s="4">
        <f t="shared" si="38"/>
        <v>448.90999999999997</v>
      </c>
      <c r="T36" s="4">
        <f t="shared" si="38"/>
        <v>474.88</v>
      </c>
      <c r="U36" s="4">
        <f t="shared" si="38"/>
        <v>504.56</v>
      </c>
    </row>
    <row r="37" spans="10:21" x14ac:dyDescent="0.35">
      <c r="J37" s="7">
        <v>35</v>
      </c>
      <c r="K37" s="4">
        <f t="shared" si="3"/>
        <v>58571</v>
      </c>
      <c r="L37" s="4">
        <f t="shared" si="4"/>
        <v>366</v>
      </c>
      <c r="M37" s="7">
        <v>35</v>
      </c>
      <c r="N37" s="4">
        <f t="shared" si="36"/>
        <v>369.66</v>
      </c>
      <c r="O37" s="4">
        <f t="shared" ref="O37:U37" si="39">N37+(O$1*$L37)/100</f>
        <v>376.98</v>
      </c>
      <c r="P37" s="4">
        <f t="shared" si="39"/>
        <v>387.96000000000004</v>
      </c>
      <c r="Q37" s="4">
        <f t="shared" si="39"/>
        <v>402.6</v>
      </c>
      <c r="R37" s="4">
        <f t="shared" si="39"/>
        <v>420.90000000000003</v>
      </c>
      <c r="S37" s="4">
        <f t="shared" si="39"/>
        <v>442.86</v>
      </c>
      <c r="T37" s="4">
        <f t="shared" si="39"/>
        <v>468.48</v>
      </c>
      <c r="U37" s="4">
        <f t="shared" si="39"/>
        <v>497.76</v>
      </c>
    </row>
    <row r="38" spans="10:21" x14ac:dyDescent="0.35">
      <c r="J38" s="7">
        <v>36</v>
      </c>
      <c r="K38" s="4">
        <f t="shared" si="3"/>
        <v>57778</v>
      </c>
      <c r="L38" s="4">
        <f t="shared" si="4"/>
        <v>361</v>
      </c>
      <c r="M38" s="7">
        <v>36</v>
      </c>
      <c r="N38" s="4">
        <f t="shared" si="36"/>
        <v>364.61</v>
      </c>
      <c r="O38" s="4">
        <f t="shared" ref="O38:U38" si="40">N38+(O$1*$L38)/100</f>
        <v>371.83000000000004</v>
      </c>
      <c r="P38" s="4">
        <f t="shared" si="40"/>
        <v>382.66</v>
      </c>
      <c r="Q38" s="4">
        <f t="shared" si="40"/>
        <v>397.1</v>
      </c>
      <c r="R38" s="4">
        <f t="shared" si="40"/>
        <v>415.15000000000003</v>
      </c>
      <c r="S38" s="4">
        <f t="shared" si="40"/>
        <v>436.81000000000006</v>
      </c>
      <c r="T38" s="4">
        <f t="shared" si="40"/>
        <v>462.08000000000004</v>
      </c>
      <c r="U38" s="4">
        <f t="shared" si="40"/>
        <v>490.96000000000004</v>
      </c>
    </row>
    <row r="39" spans="10:21" x14ac:dyDescent="0.35">
      <c r="J39" s="7">
        <v>37</v>
      </c>
      <c r="K39" s="4">
        <f t="shared" si="3"/>
        <v>57027</v>
      </c>
      <c r="L39" s="4">
        <f t="shared" si="4"/>
        <v>356</v>
      </c>
      <c r="M39" s="7">
        <v>37</v>
      </c>
      <c r="N39" s="4">
        <f t="shared" si="36"/>
        <v>359.56</v>
      </c>
      <c r="O39" s="4">
        <f t="shared" ref="O39:U39" si="41">N39+(O$1*$L39)/100</f>
        <v>366.68</v>
      </c>
      <c r="P39" s="4">
        <f t="shared" si="41"/>
        <v>377.36</v>
      </c>
      <c r="Q39" s="4">
        <f t="shared" si="41"/>
        <v>391.6</v>
      </c>
      <c r="R39" s="4">
        <f t="shared" si="41"/>
        <v>409.40000000000003</v>
      </c>
      <c r="S39" s="4">
        <f t="shared" si="41"/>
        <v>430.76000000000005</v>
      </c>
      <c r="T39" s="4">
        <f t="shared" si="41"/>
        <v>455.68000000000006</v>
      </c>
      <c r="U39" s="4">
        <f t="shared" si="41"/>
        <v>484.16000000000008</v>
      </c>
    </row>
    <row r="40" spans="10:21" x14ac:dyDescent="0.35">
      <c r="J40" s="7">
        <v>38</v>
      </c>
      <c r="K40" s="4">
        <f t="shared" si="3"/>
        <v>56316</v>
      </c>
      <c r="L40" s="4">
        <f t="shared" si="4"/>
        <v>352</v>
      </c>
      <c r="M40" s="7">
        <v>38</v>
      </c>
      <c r="N40" s="4">
        <f t="shared" si="36"/>
        <v>355.52</v>
      </c>
      <c r="O40" s="4">
        <f t="shared" ref="O40:U40" si="42">N40+(O$1*$L40)/100</f>
        <v>362.56</v>
      </c>
      <c r="P40" s="4">
        <f t="shared" si="42"/>
        <v>373.12</v>
      </c>
      <c r="Q40" s="4">
        <f t="shared" si="42"/>
        <v>387.2</v>
      </c>
      <c r="R40" s="4">
        <f t="shared" si="42"/>
        <v>404.8</v>
      </c>
      <c r="S40" s="4">
        <f t="shared" si="42"/>
        <v>425.92</v>
      </c>
      <c r="T40" s="4">
        <f t="shared" si="42"/>
        <v>450.56</v>
      </c>
      <c r="U40" s="4">
        <f t="shared" si="42"/>
        <v>478.72</v>
      </c>
    </row>
    <row r="41" spans="10:21" x14ac:dyDescent="0.35">
      <c r="J41" s="7">
        <v>39</v>
      </c>
      <c r="K41" s="4">
        <f t="shared" si="3"/>
        <v>55641</v>
      </c>
      <c r="L41" s="4">
        <f t="shared" si="4"/>
        <v>348</v>
      </c>
      <c r="M41" s="7">
        <v>39</v>
      </c>
      <c r="N41" s="4">
        <f t="shared" si="36"/>
        <v>351.48</v>
      </c>
      <c r="O41" s="4">
        <f t="shared" ref="O41:U41" si="43">N41+(O$1*$L41)/100</f>
        <v>358.44</v>
      </c>
      <c r="P41" s="4">
        <f t="shared" si="43"/>
        <v>368.88</v>
      </c>
      <c r="Q41" s="4">
        <f t="shared" si="43"/>
        <v>382.8</v>
      </c>
      <c r="R41" s="4">
        <f t="shared" si="43"/>
        <v>400.2</v>
      </c>
      <c r="S41" s="4">
        <f t="shared" si="43"/>
        <v>421.08</v>
      </c>
      <c r="T41" s="4">
        <f t="shared" si="43"/>
        <v>445.44</v>
      </c>
      <c r="U41" s="4">
        <f t="shared" si="43"/>
        <v>473.28</v>
      </c>
    </row>
    <row r="42" spans="10:21" x14ac:dyDescent="0.35">
      <c r="J42" s="7">
        <v>40</v>
      </c>
      <c r="K42" s="4">
        <f t="shared" si="3"/>
        <v>55000</v>
      </c>
      <c r="L42" s="4">
        <f t="shared" si="4"/>
        <v>344</v>
      </c>
      <c r="M42" s="7">
        <v>40</v>
      </c>
      <c r="N42" s="4">
        <f t="shared" si="36"/>
        <v>347.44</v>
      </c>
      <c r="O42" s="4">
        <f t="shared" ref="O42:U42" si="44">N42+(O$1*$L42)/100</f>
        <v>354.32</v>
      </c>
      <c r="P42" s="4">
        <f t="shared" si="44"/>
        <v>364.64</v>
      </c>
      <c r="Q42" s="4">
        <f t="shared" si="44"/>
        <v>378.4</v>
      </c>
      <c r="R42" s="4">
        <f t="shared" si="44"/>
        <v>395.59999999999997</v>
      </c>
      <c r="S42" s="4">
        <f t="shared" si="44"/>
        <v>416.23999999999995</v>
      </c>
      <c r="T42" s="4">
        <f t="shared" si="44"/>
        <v>440.31999999999994</v>
      </c>
      <c r="U42" s="4">
        <f t="shared" si="44"/>
        <v>467.83999999999992</v>
      </c>
    </row>
    <row r="43" spans="10:21" x14ac:dyDescent="0.35">
      <c r="J43" s="7">
        <v>41</v>
      </c>
      <c r="K43" s="4">
        <f t="shared" si="3"/>
        <v>54390</v>
      </c>
      <c r="L43" s="4">
        <f t="shared" si="4"/>
        <v>340</v>
      </c>
      <c r="M43" s="7">
        <v>41</v>
      </c>
      <c r="N43" s="4">
        <f t="shared" si="36"/>
        <v>343.4</v>
      </c>
      <c r="O43" s="4">
        <f t="shared" ref="O43:U43" si="45">N43+(O$1*$L43)/100</f>
        <v>350.2</v>
      </c>
      <c r="P43" s="4">
        <f t="shared" si="45"/>
        <v>360.4</v>
      </c>
      <c r="Q43" s="4">
        <f t="shared" si="45"/>
        <v>374</v>
      </c>
      <c r="R43" s="4">
        <f t="shared" si="45"/>
        <v>391</v>
      </c>
      <c r="S43" s="4">
        <f t="shared" si="45"/>
        <v>411.4</v>
      </c>
      <c r="T43" s="4">
        <f t="shared" si="45"/>
        <v>435.2</v>
      </c>
      <c r="U43" s="4">
        <f t="shared" si="45"/>
        <v>462.4</v>
      </c>
    </row>
    <row r="44" spans="10:21" x14ac:dyDescent="0.35">
      <c r="J44" s="7">
        <v>42</v>
      </c>
      <c r="K44" s="4">
        <f t="shared" si="3"/>
        <v>53810</v>
      </c>
      <c r="L44" s="4">
        <f t="shared" si="4"/>
        <v>336</v>
      </c>
      <c r="M44" s="7">
        <v>42</v>
      </c>
      <c r="N44" s="4">
        <f t="shared" si="36"/>
        <v>339.36</v>
      </c>
      <c r="O44" s="4">
        <f t="shared" ref="O44:U44" si="46">N44+(O$1*$L44)/100</f>
        <v>346.08000000000004</v>
      </c>
      <c r="P44" s="4">
        <f t="shared" si="46"/>
        <v>356.16</v>
      </c>
      <c r="Q44" s="4">
        <f t="shared" si="46"/>
        <v>369.6</v>
      </c>
      <c r="R44" s="4">
        <f t="shared" si="46"/>
        <v>386.40000000000003</v>
      </c>
      <c r="S44" s="4">
        <f t="shared" si="46"/>
        <v>406.56000000000006</v>
      </c>
      <c r="T44" s="4">
        <f t="shared" si="46"/>
        <v>430.08000000000004</v>
      </c>
      <c r="U44" s="4">
        <f t="shared" si="46"/>
        <v>456.96000000000004</v>
      </c>
    </row>
    <row r="45" spans="10:21" x14ac:dyDescent="0.35">
      <c r="J45" s="7">
        <v>43</v>
      </c>
      <c r="K45" s="4">
        <f t="shared" si="3"/>
        <v>53256</v>
      </c>
      <c r="L45" s="4">
        <f t="shared" si="4"/>
        <v>333</v>
      </c>
      <c r="M45" s="7">
        <v>43</v>
      </c>
      <c r="N45" s="4">
        <f t="shared" si="36"/>
        <v>336.33</v>
      </c>
      <c r="O45" s="4">
        <f t="shared" ref="O45:U45" si="47">N45+(O$1*$L45)/100</f>
        <v>342.99</v>
      </c>
      <c r="P45" s="4">
        <f t="shared" si="47"/>
        <v>352.98</v>
      </c>
      <c r="Q45" s="4">
        <f t="shared" si="47"/>
        <v>366.3</v>
      </c>
      <c r="R45" s="4">
        <f t="shared" si="47"/>
        <v>382.95</v>
      </c>
      <c r="S45" s="4">
        <f t="shared" si="47"/>
        <v>402.93</v>
      </c>
      <c r="T45" s="4">
        <f t="shared" si="47"/>
        <v>426.24</v>
      </c>
      <c r="U45" s="4">
        <f t="shared" si="47"/>
        <v>452.88</v>
      </c>
    </row>
    <row r="46" spans="10:21" x14ac:dyDescent="0.35">
      <c r="J46" s="7">
        <v>44</v>
      </c>
      <c r="K46" s="4">
        <f t="shared" si="3"/>
        <v>52727</v>
      </c>
      <c r="L46" s="4">
        <f t="shared" si="4"/>
        <v>330</v>
      </c>
      <c r="M46" s="7">
        <v>44</v>
      </c>
      <c r="N46" s="4">
        <f t="shared" si="36"/>
        <v>333.3</v>
      </c>
      <c r="O46" s="4">
        <f t="shared" ref="O46:U46" si="48">N46+(O$1*$L46)/100</f>
        <v>339.90000000000003</v>
      </c>
      <c r="P46" s="4">
        <f t="shared" si="48"/>
        <v>349.8</v>
      </c>
      <c r="Q46" s="4">
        <f t="shared" si="48"/>
        <v>363</v>
      </c>
      <c r="R46" s="4">
        <f t="shared" si="48"/>
        <v>379.5</v>
      </c>
      <c r="S46" s="4">
        <f t="shared" si="48"/>
        <v>399.3</v>
      </c>
      <c r="T46" s="4">
        <f t="shared" si="48"/>
        <v>422.40000000000003</v>
      </c>
      <c r="U46" s="4">
        <f t="shared" si="48"/>
        <v>448.8</v>
      </c>
    </row>
    <row r="47" spans="10:21" x14ac:dyDescent="0.35">
      <c r="J47" s="7">
        <v>45</v>
      </c>
      <c r="K47" s="4">
        <f t="shared" si="3"/>
        <v>52222</v>
      </c>
      <c r="L47" s="4">
        <f t="shared" si="4"/>
        <v>326</v>
      </c>
      <c r="M47" s="7">
        <v>45</v>
      </c>
      <c r="N47" s="4">
        <f t="shared" si="36"/>
        <v>329.26</v>
      </c>
      <c r="O47" s="4">
        <f t="shared" ref="O47:U47" si="49">N47+(O$1*$L47)/100</f>
        <v>335.78</v>
      </c>
      <c r="P47" s="4">
        <f t="shared" si="49"/>
        <v>345.55999999999995</v>
      </c>
      <c r="Q47" s="4">
        <f t="shared" si="49"/>
        <v>358.59999999999997</v>
      </c>
      <c r="R47" s="4">
        <f t="shared" si="49"/>
        <v>374.9</v>
      </c>
      <c r="S47" s="4">
        <f t="shared" si="49"/>
        <v>394.46</v>
      </c>
      <c r="T47" s="4">
        <f t="shared" si="49"/>
        <v>417.28</v>
      </c>
      <c r="U47" s="4">
        <f t="shared" si="49"/>
        <v>443.35999999999996</v>
      </c>
    </row>
    <row r="48" spans="10:21" x14ac:dyDescent="0.35">
      <c r="J48" s="7">
        <v>46</v>
      </c>
      <c r="K48" s="4">
        <f t="shared" si="3"/>
        <v>51739</v>
      </c>
      <c r="L48" s="4">
        <f t="shared" si="4"/>
        <v>323</v>
      </c>
      <c r="M48" s="7">
        <v>46</v>
      </c>
      <c r="N48" s="4">
        <f t="shared" si="36"/>
        <v>326.23</v>
      </c>
      <c r="O48" s="4">
        <f t="shared" ref="O48:U48" si="50">N48+(O$1*$L48)/100</f>
        <v>332.69</v>
      </c>
      <c r="P48" s="4">
        <f t="shared" si="50"/>
        <v>342.38</v>
      </c>
      <c r="Q48" s="4">
        <f t="shared" si="50"/>
        <v>355.3</v>
      </c>
      <c r="R48" s="4">
        <f t="shared" si="50"/>
        <v>371.45</v>
      </c>
      <c r="S48" s="4">
        <f t="shared" si="50"/>
        <v>390.83</v>
      </c>
      <c r="T48" s="4">
        <f t="shared" si="50"/>
        <v>413.44</v>
      </c>
      <c r="U48" s="4">
        <f t="shared" si="50"/>
        <v>439.28</v>
      </c>
    </row>
    <row r="49" spans="10:21" x14ac:dyDescent="0.35">
      <c r="J49" s="7">
        <v>47</v>
      </c>
      <c r="K49" s="4">
        <f t="shared" si="3"/>
        <v>51277</v>
      </c>
      <c r="L49" s="4">
        <f t="shared" si="4"/>
        <v>320</v>
      </c>
      <c r="M49" s="7">
        <v>47</v>
      </c>
      <c r="N49" s="4">
        <f t="shared" si="36"/>
        <v>323.2</v>
      </c>
      <c r="O49" s="4">
        <f t="shared" ref="O49:U49" si="51">N49+(O$1*$L49)/100</f>
        <v>329.59999999999997</v>
      </c>
      <c r="P49" s="4">
        <f t="shared" si="51"/>
        <v>339.2</v>
      </c>
      <c r="Q49" s="4">
        <f t="shared" si="51"/>
        <v>352</v>
      </c>
      <c r="R49" s="4">
        <f t="shared" si="51"/>
        <v>368</v>
      </c>
      <c r="S49" s="4">
        <f t="shared" si="51"/>
        <v>387.2</v>
      </c>
      <c r="T49" s="4">
        <f t="shared" si="51"/>
        <v>409.59999999999997</v>
      </c>
      <c r="U49" s="4">
        <f t="shared" si="51"/>
        <v>435.2</v>
      </c>
    </row>
    <row r="50" spans="10:21" x14ac:dyDescent="0.35">
      <c r="J50" s="7">
        <v>48</v>
      </c>
      <c r="K50" s="4">
        <f t="shared" si="3"/>
        <v>50833</v>
      </c>
      <c r="L50" s="4">
        <f t="shared" si="4"/>
        <v>318</v>
      </c>
      <c r="M50" s="7">
        <v>48</v>
      </c>
      <c r="N50" s="4">
        <f t="shared" si="36"/>
        <v>321.18</v>
      </c>
      <c r="O50" s="4">
        <f t="shared" ref="O50:U50" si="52">N50+(O$1*$L50)/100</f>
        <v>327.54000000000002</v>
      </c>
      <c r="P50" s="4">
        <f t="shared" si="52"/>
        <v>337.08000000000004</v>
      </c>
      <c r="Q50" s="4">
        <f t="shared" si="52"/>
        <v>349.80000000000007</v>
      </c>
      <c r="R50" s="4">
        <f t="shared" si="52"/>
        <v>365.70000000000005</v>
      </c>
      <c r="S50" s="4">
        <f t="shared" si="52"/>
        <v>384.78000000000003</v>
      </c>
      <c r="T50" s="4">
        <f t="shared" si="52"/>
        <v>407.04</v>
      </c>
      <c r="U50" s="4">
        <f t="shared" si="52"/>
        <v>432.48</v>
      </c>
    </row>
    <row r="51" spans="10:21" x14ac:dyDescent="0.35">
      <c r="J51" s="7">
        <v>49</v>
      </c>
      <c r="K51" s="4">
        <f t="shared" si="3"/>
        <v>50408</v>
      </c>
      <c r="L51" s="4">
        <f t="shared" si="4"/>
        <v>315</v>
      </c>
      <c r="M51" s="7">
        <v>49</v>
      </c>
      <c r="N51" s="4">
        <f t="shared" si="36"/>
        <v>318.14999999999998</v>
      </c>
      <c r="O51" s="4">
        <f t="shared" ref="O51:U51" si="53">N51+(O$1*$L51)/100</f>
        <v>324.45</v>
      </c>
      <c r="P51" s="4">
        <f t="shared" si="53"/>
        <v>333.9</v>
      </c>
      <c r="Q51" s="4">
        <f t="shared" si="53"/>
        <v>346.5</v>
      </c>
      <c r="R51" s="4">
        <f t="shared" si="53"/>
        <v>362.25</v>
      </c>
      <c r="S51" s="4">
        <f t="shared" si="53"/>
        <v>381.15</v>
      </c>
      <c r="T51" s="4">
        <f t="shared" si="53"/>
        <v>403.2</v>
      </c>
      <c r="U51" s="4">
        <f t="shared" si="53"/>
        <v>428.4</v>
      </c>
    </row>
    <row r="52" spans="10:21" x14ac:dyDescent="0.35">
      <c r="J52" s="7">
        <v>50</v>
      </c>
      <c r="K52" s="4">
        <f t="shared" si="3"/>
        <v>50000</v>
      </c>
      <c r="L52" s="4">
        <f t="shared" si="4"/>
        <v>313</v>
      </c>
      <c r="M52" s="7">
        <v>50</v>
      </c>
      <c r="N52" s="4">
        <f t="shared" si="36"/>
        <v>316.13</v>
      </c>
      <c r="O52" s="4">
        <f t="shared" ref="O52:U52" si="54">N52+(O$1*$L52)/100</f>
        <v>322.39</v>
      </c>
      <c r="P52" s="4">
        <f t="shared" si="54"/>
        <v>331.78</v>
      </c>
      <c r="Q52" s="4">
        <f t="shared" si="54"/>
        <v>344.29999999999995</v>
      </c>
      <c r="R52" s="4">
        <f t="shared" si="54"/>
        <v>359.94999999999993</v>
      </c>
      <c r="S52" s="4">
        <f t="shared" si="54"/>
        <v>378.7299999999999</v>
      </c>
      <c r="T52" s="4">
        <f t="shared" si="54"/>
        <v>400.63999999999993</v>
      </c>
      <c r="U52" s="4">
        <f t="shared" si="54"/>
        <v>425.67999999999995</v>
      </c>
    </row>
    <row r="53" spans="10:21" x14ac:dyDescent="0.35">
      <c r="J53" s="7">
        <v>51</v>
      </c>
      <c r="K53" s="4">
        <f t="shared" si="3"/>
        <v>49608</v>
      </c>
      <c r="L53" s="4">
        <f t="shared" si="4"/>
        <v>310</v>
      </c>
      <c r="M53" s="7">
        <v>51</v>
      </c>
      <c r="N53" s="4">
        <f t="shared" si="36"/>
        <v>313.10000000000002</v>
      </c>
      <c r="O53" s="4">
        <f t="shared" ref="O53:U53" si="55">N53+(O$1*$L53)/100</f>
        <v>319.3</v>
      </c>
      <c r="P53" s="4">
        <f t="shared" si="55"/>
        <v>328.6</v>
      </c>
      <c r="Q53" s="4">
        <f t="shared" si="55"/>
        <v>341</v>
      </c>
      <c r="R53" s="4">
        <f t="shared" si="55"/>
        <v>356.5</v>
      </c>
      <c r="S53" s="4">
        <f t="shared" si="55"/>
        <v>375.1</v>
      </c>
      <c r="T53" s="4">
        <f t="shared" si="55"/>
        <v>396.8</v>
      </c>
      <c r="U53" s="4">
        <f t="shared" si="55"/>
        <v>421.6</v>
      </c>
    </row>
    <row r="54" spans="10:21" x14ac:dyDescent="0.35">
      <c r="J54" s="7">
        <v>52</v>
      </c>
      <c r="K54" s="4">
        <f t="shared" si="3"/>
        <v>49231</v>
      </c>
      <c r="L54" s="4">
        <f t="shared" si="4"/>
        <v>308</v>
      </c>
      <c r="M54" s="7">
        <v>52</v>
      </c>
      <c r="N54" s="4">
        <f t="shared" si="36"/>
        <v>311.08</v>
      </c>
      <c r="O54" s="4">
        <f t="shared" ref="O54:U54" si="56">N54+(O$1*$L54)/100</f>
        <v>317.24</v>
      </c>
      <c r="P54" s="4">
        <f t="shared" si="56"/>
        <v>326.48</v>
      </c>
      <c r="Q54" s="4">
        <f t="shared" si="56"/>
        <v>338.8</v>
      </c>
      <c r="R54" s="4">
        <f t="shared" si="56"/>
        <v>354.2</v>
      </c>
      <c r="S54" s="4">
        <f t="shared" si="56"/>
        <v>372.68</v>
      </c>
      <c r="T54" s="4">
        <f t="shared" si="56"/>
        <v>394.24</v>
      </c>
      <c r="U54" s="4">
        <f t="shared" si="56"/>
        <v>418.88</v>
      </c>
    </row>
    <row r="55" spans="10:21" x14ac:dyDescent="0.35">
      <c r="J55" s="7">
        <v>53</v>
      </c>
      <c r="K55" s="4">
        <f t="shared" si="3"/>
        <v>48868</v>
      </c>
      <c r="L55" s="4">
        <f t="shared" si="4"/>
        <v>305</v>
      </c>
      <c r="M55" s="7">
        <v>53</v>
      </c>
      <c r="N55" s="4">
        <f t="shared" si="36"/>
        <v>308.05</v>
      </c>
      <c r="O55" s="4">
        <f t="shared" ref="O55:U55" si="57">N55+(O$1*$L55)/100</f>
        <v>314.15000000000003</v>
      </c>
      <c r="P55" s="4">
        <f t="shared" si="57"/>
        <v>323.3</v>
      </c>
      <c r="Q55" s="4">
        <f t="shared" si="57"/>
        <v>335.5</v>
      </c>
      <c r="R55" s="4">
        <f t="shared" si="57"/>
        <v>350.75</v>
      </c>
      <c r="S55" s="4">
        <f t="shared" si="57"/>
        <v>369.05</v>
      </c>
      <c r="T55" s="4">
        <f t="shared" si="57"/>
        <v>390.40000000000003</v>
      </c>
      <c r="U55" s="4">
        <f t="shared" si="57"/>
        <v>414.8</v>
      </c>
    </row>
    <row r="56" spans="10:21" x14ac:dyDescent="0.35">
      <c r="J56" s="7">
        <v>54</v>
      </c>
      <c r="K56" s="4">
        <f t="shared" si="3"/>
        <v>48519</v>
      </c>
      <c r="L56" s="4">
        <f t="shared" si="4"/>
        <v>303</v>
      </c>
      <c r="M56" s="7">
        <v>54</v>
      </c>
      <c r="N56" s="4">
        <f t="shared" si="36"/>
        <v>306.02999999999997</v>
      </c>
      <c r="O56" s="4">
        <f t="shared" ref="O56:U56" si="58">N56+(O$1*$L56)/100</f>
        <v>312.08999999999997</v>
      </c>
      <c r="P56" s="4">
        <f t="shared" si="58"/>
        <v>321.17999999999995</v>
      </c>
      <c r="Q56" s="4">
        <f t="shared" si="58"/>
        <v>333.29999999999995</v>
      </c>
      <c r="R56" s="4">
        <f t="shared" si="58"/>
        <v>348.44999999999993</v>
      </c>
      <c r="S56" s="4">
        <f t="shared" si="58"/>
        <v>366.62999999999994</v>
      </c>
      <c r="T56" s="4">
        <f t="shared" si="58"/>
        <v>387.83999999999992</v>
      </c>
      <c r="U56" s="4">
        <f t="shared" si="58"/>
        <v>412.07999999999993</v>
      </c>
    </row>
    <row r="57" spans="10:21" x14ac:dyDescent="0.35">
      <c r="J57" s="7">
        <v>55</v>
      </c>
      <c r="K57" s="4">
        <f t="shared" si="3"/>
        <v>48182</v>
      </c>
      <c r="L57" s="4">
        <f t="shared" si="4"/>
        <v>301</v>
      </c>
      <c r="M57" s="7">
        <v>55</v>
      </c>
      <c r="N57" s="4">
        <f t="shared" si="36"/>
        <v>304.01</v>
      </c>
      <c r="O57" s="4">
        <f t="shared" ref="O57:U57" si="59">N57+(O$1*$L57)/100</f>
        <v>310.02999999999997</v>
      </c>
      <c r="P57" s="4">
        <f t="shared" si="59"/>
        <v>319.05999999999995</v>
      </c>
      <c r="Q57" s="4">
        <f t="shared" si="59"/>
        <v>331.09999999999997</v>
      </c>
      <c r="R57" s="4">
        <f t="shared" si="59"/>
        <v>346.15</v>
      </c>
      <c r="S57" s="4">
        <f t="shared" si="59"/>
        <v>364.21</v>
      </c>
      <c r="T57" s="4">
        <f t="shared" si="59"/>
        <v>385.28</v>
      </c>
      <c r="U57" s="4">
        <f t="shared" si="59"/>
        <v>409.35999999999996</v>
      </c>
    </row>
    <row r="58" spans="10:21" x14ac:dyDescent="0.35">
      <c r="J58" s="7">
        <v>56</v>
      </c>
      <c r="K58" s="4">
        <f t="shared" si="3"/>
        <v>47857</v>
      </c>
      <c r="L58" s="4">
        <f t="shared" si="4"/>
        <v>299</v>
      </c>
      <c r="M58" s="7">
        <v>56</v>
      </c>
      <c r="N58" s="4">
        <f t="shared" si="36"/>
        <v>301.99</v>
      </c>
      <c r="O58" s="4">
        <f t="shared" ref="O58:U58" si="60">N58+(O$1*$L58)/100</f>
        <v>307.97000000000003</v>
      </c>
      <c r="P58" s="4">
        <f t="shared" si="60"/>
        <v>316.94000000000005</v>
      </c>
      <c r="Q58" s="4">
        <f t="shared" si="60"/>
        <v>328.90000000000003</v>
      </c>
      <c r="R58" s="4">
        <f t="shared" si="60"/>
        <v>343.85</v>
      </c>
      <c r="S58" s="4">
        <f t="shared" si="60"/>
        <v>361.79</v>
      </c>
      <c r="T58" s="4">
        <f t="shared" si="60"/>
        <v>382.72</v>
      </c>
      <c r="U58" s="4">
        <f t="shared" si="60"/>
        <v>406.64000000000004</v>
      </c>
    </row>
    <row r="59" spans="10:21" x14ac:dyDescent="0.35">
      <c r="J59" s="7">
        <v>57</v>
      </c>
      <c r="K59" s="4">
        <f t="shared" si="3"/>
        <v>47544</v>
      </c>
      <c r="L59" s="4">
        <f t="shared" si="4"/>
        <v>297</v>
      </c>
      <c r="M59" s="7">
        <v>57</v>
      </c>
      <c r="N59" s="4">
        <f t="shared" si="36"/>
        <v>299.97000000000003</v>
      </c>
      <c r="O59" s="4">
        <f t="shared" ref="O59:U59" si="61">N59+(O$1*$L59)/100</f>
        <v>305.91000000000003</v>
      </c>
      <c r="P59" s="4">
        <f t="shared" si="61"/>
        <v>314.82000000000005</v>
      </c>
      <c r="Q59" s="4">
        <f t="shared" si="61"/>
        <v>326.70000000000005</v>
      </c>
      <c r="R59" s="4">
        <f t="shared" si="61"/>
        <v>341.55000000000007</v>
      </c>
      <c r="S59" s="4">
        <f t="shared" si="61"/>
        <v>359.37000000000006</v>
      </c>
      <c r="T59" s="4">
        <f t="shared" si="61"/>
        <v>380.16000000000008</v>
      </c>
      <c r="U59" s="4">
        <f t="shared" si="61"/>
        <v>403.92000000000007</v>
      </c>
    </row>
    <row r="60" spans="10:21" x14ac:dyDescent="0.35">
      <c r="J60" s="7">
        <v>58</v>
      </c>
      <c r="K60" s="4">
        <f t="shared" si="3"/>
        <v>47241</v>
      </c>
      <c r="L60" s="4">
        <f t="shared" si="4"/>
        <v>295</v>
      </c>
      <c r="M60" s="7">
        <v>58</v>
      </c>
      <c r="N60" s="4">
        <f t="shared" si="36"/>
        <v>297.95</v>
      </c>
      <c r="O60" s="4">
        <f t="shared" ref="O60:U60" si="62">N60+(O$1*$L60)/100</f>
        <v>303.84999999999997</v>
      </c>
      <c r="P60" s="4">
        <f t="shared" si="62"/>
        <v>312.7</v>
      </c>
      <c r="Q60" s="4">
        <f t="shared" si="62"/>
        <v>324.5</v>
      </c>
      <c r="R60" s="4">
        <f t="shared" si="62"/>
        <v>339.25</v>
      </c>
      <c r="S60" s="4">
        <f t="shared" si="62"/>
        <v>356.95</v>
      </c>
      <c r="T60" s="4">
        <f t="shared" si="62"/>
        <v>377.59999999999997</v>
      </c>
      <c r="U60" s="4">
        <f t="shared" si="62"/>
        <v>401.2</v>
      </c>
    </row>
    <row r="61" spans="10:21" x14ac:dyDescent="0.35">
      <c r="J61" s="7">
        <v>59</v>
      </c>
      <c r="K61" s="4">
        <f t="shared" si="3"/>
        <v>46949</v>
      </c>
      <c r="L61" s="4">
        <f t="shared" si="4"/>
        <v>293</v>
      </c>
      <c r="M61" s="7">
        <v>59</v>
      </c>
      <c r="N61" s="4">
        <f t="shared" si="36"/>
        <v>295.93</v>
      </c>
      <c r="O61" s="4">
        <f t="shared" ref="O61:U61" si="63">N61+(O$1*$L61)/100</f>
        <v>301.79000000000002</v>
      </c>
      <c r="P61" s="4">
        <f t="shared" si="63"/>
        <v>310.58000000000004</v>
      </c>
      <c r="Q61" s="4">
        <f t="shared" si="63"/>
        <v>322.30000000000007</v>
      </c>
      <c r="R61" s="4">
        <f t="shared" si="63"/>
        <v>336.95000000000005</v>
      </c>
      <c r="S61" s="4">
        <f t="shared" si="63"/>
        <v>354.53000000000003</v>
      </c>
      <c r="T61" s="4">
        <f t="shared" si="63"/>
        <v>375.04</v>
      </c>
      <c r="U61" s="4">
        <f t="shared" si="63"/>
        <v>398.48</v>
      </c>
    </row>
    <row r="62" spans="10:21" x14ac:dyDescent="0.35">
      <c r="J62" s="7">
        <v>60</v>
      </c>
      <c r="K62" s="4">
        <f t="shared" si="3"/>
        <v>46667</v>
      </c>
      <c r="L62" s="4">
        <f t="shared" si="4"/>
        <v>292</v>
      </c>
      <c r="M62" s="7">
        <v>60</v>
      </c>
      <c r="N62" s="4">
        <f t="shared" si="36"/>
        <v>294.92</v>
      </c>
      <c r="O62" s="4">
        <f t="shared" ref="O62:U62" si="64">N62+(O$1*$L62)/100</f>
        <v>300.76</v>
      </c>
      <c r="P62" s="4">
        <f t="shared" si="64"/>
        <v>309.52</v>
      </c>
      <c r="Q62" s="4">
        <f t="shared" si="64"/>
        <v>321.2</v>
      </c>
      <c r="R62" s="4">
        <f t="shared" si="64"/>
        <v>335.8</v>
      </c>
      <c r="S62" s="4">
        <f t="shared" si="64"/>
        <v>353.32</v>
      </c>
      <c r="T62" s="4">
        <f t="shared" si="64"/>
        <v>373.76</v>
      </c>
      <c r="U62" s="4">
        <f t="shared" si="64"/>
        <v>397.12</v>
      </c>
    </row>
    <row r="63" spans="10:21" x14ac:dyDescent="0.35">
      <c r="J63" s="7">
        <v>61</v>
      </c>
      <c r="K63" s="4">
        <f t="shared" si="3"/>
        <v>46393</v>
      </c>
      <c r="L63" s="4">
        <f t="shared" si="4"/>
        <v>290</v>
      </c>
      <c r="M63" s="7">
        <v>61</v>
      </c>
      <c r="N63" s="4">
        <f t="shared" si="36"/>
        <v>292.89999999999998</v>
      </c>
      <c r="O63" s="4">
        <f t="shared" ref="O63:U63" si="65">N63+(O$1*$L63)/100</f>
        <v>298.7</v>
      </c>
      <c r="P63" s="4">
        <f t="shared" si="65"/>
        <v>307.39999999999998</v>
      </c>
      <c r="Q63" s="4">
        <f t="shared" si="65"/>
        <v>319</v>
      </c>
      <c r="R63" s="4">
        <f t="shared" si="65"/>
        <v>333.5</v>
      </c>
      <c r="S63" s="4">
        <f t="shared" si="65"/>
        <v>350.9</v>
      </c>
      <c r="T63" s="4">
        <f t="shared" si="65"/>
        <v>371.2</v>
      </c>
      <c r="U63" s="4">
        <f t="shared" si="65"/>
        <v>394.4</v>
      </c>
    </row>
    <row r="64" spans="10:21" x14ac:dyDescent="0.35">
      <c r="J64" s="7">
        <v>62</v>
      </c>
      <c r="K64" s="4">
        <f t="shared" si="3"/>
        <v>46129</v>
      </c>
      <c r="L64" s="4">
        <f t="shared" si="4"/>
        <v>288</v>
      </c>
      <c r="M64" s="7">
        <v>62</v>
      </c>
      <c r="N64" s="4">
        <f t="shared" si="36"/>
        <v>290.88</v>
      </c>
      <c r="O64" s="4">
        <f t="shared" ref="O64:U64" si="66">N64+(O$1*$L64)/100</f>
        <v>296.64</v>
      </c>
      <c r="P64" s="4">
        <f t="shared" si="66"/>
        <v>305.27999999999997</v>
      </c>
      <c r="Q64" s="4">
        <f t="shared" si="66"/>
        <v>316.79999999999995</v>
      </c>
      <c r="R64" s="4">
        <f t="shared" si="66"/>
        <v>331.19999999999993</v>
      </c>
      <c r="S64" s="4">
        <f t="shared" si="66"/>
        <v>348.4799999999999</v>
      </c>
      <c r="T64" s="4">
        <f t="shared" si="66"/>
        <v>368.63999999999993</v>
      </c>
      <c r="U64" s="4">
        <f t="shared" si="66"/>
        <v>391.67999999999995</v>
      </c>
    </row>
    <row r="65" spans="10:21" x14ac:dyDescent="0.35">
      <c r="J65" s="7">
        <v>63</v>
      </c>
      <c r="K65" s="4">
        <f t="shared" si="3"/>
        <v>45873</v>
      </c>
      <c r="L65" s="4">
        <f t="shared" si="4"/>
        <v>287</v>
      </c>
      <c r="M65" s="7">
        <v>63</v>
      </c>
      <c r="N65" s="4">
        <f t="shared" si="36"/>
        <v>289.87</v>
      </c>
      <c r="O65" s="4">
        <f t="shared" ref="O65:U65" si="67">N65+(O$1*$L65)/100</f>
        <v>295.61</v>
      </c>
      <c r="P65" s="4">
        <f t="shared" si="67"/>
        <v>304.22000000000003</v>
      </c>
      <c r="Q65" s="4">
        <f t="shared" si="67"/>
        <v>315.70000000000005</v>
      </c>
      <c r="R65" s="4">
        <f t="shared" si="67"/>
        <v>330.05000000000007</v>
      </c>
      <c r="S65" s="4">
        <f t="shared" si="67"/>
        <v>347.2700000000001</v>
      </c>
      <c r="T65" s="4">
        <f t="shared" si="67"/>
        <v>367.36000000000007</v>
      </c>
      <c r="U65" s="4">
        <f t="shared" si="67"/>
        <v>390.32000000000005</v>
      </c>
    </row>
    <row r="66" spans="10:21" x14ac:dyDescent="0.35">
      <c r="J66" s="7">
        <v>64</v>
      </c>
      <c r="K66" s="4">
        <f t="shared" si="3"/>
        <v>45625</v>
      </c>
      <c r="L66" s="4">
        <f t="shared" si="4"/>
        <v>285</v>
      </c>
      <c r="M66" s="7">
        <v>64</v>
      </c>
      <c r="N66" s="4">
        <f t="shared" si="36"/>
        <v>287.85000000000002</v>
      </c>
      <c r="O66" s="4">
        <f t="shared" ref="O66:U66" si="68">N66+(O$1*$L66)/100</f>
        <v>293.55</v>
      </c>
      <c r="P66" s="4">
        <f t="shared" si="68"/>
        <v>302.10000000000002</v>
      </c>
      <c r="Q66" s="4">
        <f t="shared" si="68"/>
        <v>313.5</v>
      </c>
      <c r="R66" s="4">
        <f t="shared" si="68"/>
        <v>327.75</v>
      </c>
      <c r="S66" s="4">
        <f t="shared" si="68"/>
        <v>344.85</v>
      </c>
      <c r="T66" s="4">
        <f t="shared" si="68"/>
        <v>364.8</v>
      </c>
      <c r="U66" s="4">
        <f t="shared" si="68"/>
        <v>387.6</v>
      </c>
    </row>
    <row r="67" spans="10:21" x14ac:dyDescent="0.35">
      <c r="J67" s="7">
        <v>65</v>
      </c>
      <c r="K67" s="4">
        <f t="shared" si="3"/>
        <v>45385</v>
      </c>
      <c r="L67" s="4">
        <f t="shared" si="4"/>
        <v>284</v>
      </c>
      <c r="M67" s="7">
        <v>65</v>
      </c>
      <c r="N67" s="4">
        <f t="shared" si="36"/>
        <v>286.83999999999997</v>
      </c>
      <c r="O67" s="4">
        <f t="shared" ref="O67:U67" si="69">N67+(O$1*$L67)/100</f>
        <v>292.52</v>
      </c>
      <c r="P67" s="4">
        <f t="shared" si="69"/>
        <v>301.03999999999996</v>
      </c>
      <c r="Q67" s="4">
        <f t="shared" si="69"/>
        <v>312.39999999999998</v>
      </c>
      <c r="R67" s="4">
        <f t="shared" si="69"/>
        <v>326.59999999999997</v>
      </c>
      <c r="S67" s="4">
        <f t="shared" si="69"/>
        <v>343.64</v>
      </c>
      <c r="T67" s="4">
        <f t="shared" si="69"/>
        <v>363.52</v>
      </c>
      <c r="U67" s="4">
        <f t="shared" si="69"/>
        <v>386.24</v>
      </c>
    </row>
    <row r="68" spans="10:21" x14ac:dyDescent="0.35">
      <c r="J68" s="7">
        <v>66</v>
      </c>
      <c r="K68" s="4">
        <f t="shared" ref="K68" si="70">ROUND(1000000*(1/J68),0)+30000</f>
        <v>45152</v>
      </c>
      <c r="L68" s="4">
        <f t="shared" ref="L68" si="71">ROUND(K68/(5*4*8),0)</f>
        <v>282</v>
      </c>
      <c r="M68" s="7">
        <v>66</v>
      </c>
      <c r="N68" s="4">
        <f t="shared" si="36"/>
        <v>284.82</v>
      </c>
      <c r="O68" s="4">
        <f t="shared" ref="O68:U68" si="72">N68+(O$1*$L68)/100</f>
        <v>290.45999999999998</v>
      </c>
      <c r="P68" s="4">
        <f t="shared" si="72"/>
        <v>298.91999999999996</v>
      </c>
      <c r="Q68" s="4">
        <f t="shared" si="72"/>
        <v>310.19999999999993</v>
      </c>
      <c r="R68" s="4">
        <f t="shared" si="72"/>
        <v>324.29999999999995</v>
      </c>
      <c r="S68" s="4">
        <f t="shared" si="72"/>
        <v>341.21999999999997</v>
      </c>
      <c r="T68" s="4">
        <f t="shared" si="72"/>
        <v>360.96</v>
      </c>
      <c r="U68" s="4">
        <f t="shared" si="72"/>
        <v>383.52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38E3D-67D2-48AB-BE49-B6910FEE7AB7}">
  <sheetPr codeName="Sheet3"/>
  <dimension ref="A1:F9"/>
  <sheetViews>
    <sheetView workbookViewId="0">
      <selection activeCell="F3" sqref="F3"/>
    </sheetView>
  </sheetViews>
  <sheetFormatPr baseColWidth="10" defaultColWidth="8.7265625" defaultRowHeight="14.5" x14ac:dyDescent="0.35"/>
  <cols>
    <col min="1" max="1" width="10.08984375" customWidth="1"/>
    <col min="3" max="3" width="10.1796875" customWidth="1"/>
    <col min="4" max="4" width="10.36328125" bestFit="1" customWidth="1"/>
    <col min="5" max="5" width="12.36328125" customWidth="1"/>
  </cols>
  <sheetData>
    <row r="1" spans="1:6" x14ac:dyDescent="0.35">
      <c r="A1" s="10" t="s">
        <v>358</v>
      </c>
      <c r="B1" s="10" t="s">
        <v>352</v>
      </c>
      <c r="C1" s="10" t="s">
        <v>359</v>
      </c>
      <c r="D1" s="11" t="s">
        <v>353</v>
      </c>
      <c r="E1" s="10" t="s">
        <v>354</v>
      </c>
      <c r="F1" s="10" t="s">
        <v>394</v>
      </c>
    </row>
    <row r="2" spans="1:6" x14ac:dyDescent="0.35">
      <c r="A2" t="s">
        <v>27</v>
      </c>
      <c r="B2" t="s">
        <v>86</v>
      </c>
      <c r="C2" t="s">
        <v>87</v>
      </c>
      <c r="D2" s="9">
        <v>45536</v>
      </c>
      <c r="E2" t="s">
        <v>356</v>
      </c>
      <c r="F2">
        <f>_xlfn.NUMBERVALUE(LEFT(E2,FIND("h",E2,1)-1))</f>
        <v>45</v>
      </c>
    </row>
    <row r="3" spans="1:6" x14ac:dyDescent="0.35">
      <c r="A3" t="s">
        <v>37</v>
      </c>
      <c r="B3" t="s">
        <v>98</v>
      </c>
      <c r="C3" t="s">
        <v>99</v>
      </c>
      <c r="D3" s="9" t="s">
        <v>367</v>
      </c>
      <c r="E3" t="s">
        <v>368</v>
      </c>
      <c r="F3">
        <f t="shared" ref="F3:F6" si="0">_xlfn.NUMBERVALUE(LEFT(E3,FIND("h",E3,1)-1))</f>
        <v>5</v>
      </c>
    </row>
    <row r="4" spans="1:6" x14ac:dyDescent="0.35">
      <c r="A4" t="s">
        <v>29</v>
      </c>
      <c r="B4" t="s">
        <v>90</v>
      </c>
      <c r="C4" t="s">
        <v>91</v>
      </c>
      <c r="D4" t="s">
        <v>369</v>
      </c>
      <c r="E4" t="s">
        <v>355</v>
      </c>
      <c r="F4">
        <f t="shared" si="0"/>
        <v>12</v>
      </c>
    </row>
    <row r="5" spans="1:6" x14ac:dyDescent="0.35">
      <c r="A5" t="s">
        <v>29</v>
      </c>
      <c r="B5" t="s">
        <v>90</v>
      </c>
      <c r="C5" t="s">
        <v>91</v>
      </c>
      <c r="D5" s="9">
        <v>45566</v>
      </c>
      <c r="E5" t="s">
        <v>355</v>
      </c>
      <c r="F5">
        <f t="shared" si="0"/>
        <v>12</v>
      </c>
    </row>
    <row r="6" spans="1:6" x14ac:dyDescent="0.35">
      <c r="A6" t="s">
        <v>29</v>
      </c>
      <c r="B6" t="s">
        <v>90</v>
      </c>
      <c r="C6" t="s">
        <v>91</v>
      </c>
      <c r="D6" s="9" t="s">
        <v>384</v>
      </c>
      <c r="E6" t="s">
        <v>380</v>
      </c>
      <c r="F6">
        <f t="shared" si="0"/>
        <v>15</v>
      </c>
    </row>
    <row r="7" spans="1:6" x14ac:dyDescent="0.35">
      <c r="D7" s="9"/>
    </row>
    <row r="8" spans="1:6" x14ac:dyDescent="0.35">
      <c r="D8" s="9"/>
    </row>
    <row r="9" spans="1:6" x14ac:dyDescent="0.35">
      <c r="D9" s="9"/>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EAC5D-8D15-468C-A700-C53FD9C4F654}">
  <sheetPr codeName="Sheet5">
    <tabColor theme="9" tint="-0.249977111117893"/>
  </sheetPr>
  <dimension ref="C2:AK17"/>
  <sheetViews>
    <sheetView workbookViewId="0">
      <selection activeCell="A7" sqref="A7"/>
    </sheetView>
  </sheetViews>
  <sheetFormatPr baseColWidth="10" defaultColWidth="8.81640625" defaultRowHeight="14.5" x14ac:dyDescent="0.35"/>
  <cols>
    <col min="15" max="15" width="19.1796875" bestFit="1" customWidth="1"/>
    <col min="21" max="21" width="13.1796875" bestFit="1" customWidth="1"/>
    <col min="22" max="22" width="11.453125" bestFit="1" customWidth="1"/>
    <col min="24" max="24" width="15.81640625" bestFit="1" customWidth="1"/>
    <col min="25" max="25" width="19.1796875" bestFit="1" customWidth="1"/>
    <col min="28" max="28" width="8.453125" bestFit="1" customWidth="1"/>
    <col min="31" max="31" width="13.1796875" bestFit="1" customWidth="1"/>
    <col min="34" max="34" width="10.90625" bestFit="1" customWidth="1"/>
  </cols>
  <sheetData>
    <row r="2" spans="3:37" x14ac:dyDescent="0.35">
      <c r="C2" t="s">
        <v>360</v>
      </c>
      <c r="D2" t="s">
        <v>15</v>
      </c>
      <c r="G2" t="s">
        <v>361</v>
      </c>
      <c r="H2" t="s">
        <v>32</v>
      </c>
      <c r="K2" t="s">
        <v>8</v>
      </c>
      <c r="L2" t="s">
        <v>50</v>
      </c>
      <c r="O2" t="s">
        <v>362</v>
      </c>
      <c r="P2" t="s">
        <v>170</v>
      </c>
      <c r="R2" t="s">
        <v>159</v>
      </c>
      <c r="S2">
        <v>0</v>
      </c>
      <c r="U2" t="s">
        <v>164</v>
      </c>
      <c r="V2" t="s">
        <v>174</v>
      </c>
      <c r="X2" t="s">
        <v>165</v>
      </c>
      <c r="Y2" t="s">
        <v>175</v>
      </c>
      <c r="AB2" t="s">
        <v>363</v>
      </c>
      <c r="AC2" t="s">
        <v>176</v>
      </c>
      <c r="AE2" t="s">
        <v>364</v>
      </c>
      <c r="AF2" t="s">
        <v>18</v>
      </c>
      <c r="AH2" t="s">
        <v>365</v>
      </c>
      <c r="AI2" t="s">
        <v>14</v>
      </c>
      <c r="AK2" t="s">
        <v>366</v>
      </c>
    </row>
    <row r="3" spans="3:37" x14ac:dyDescent="0.35">
      <c r="D3" t="s">
        <v>23</v>
      </c>
      <c r="H3" t="s">
        <v>35</v>
      </c>
      <c r="L3" t="s">
        <v>43</v>
      </c>
      <c r="P3" t="s">
        <v>179</v>
      </c>
      <c r="S3">
        <v>1</v>
      </c>
      <c r="V3" t="s">
        <v>183</v>
      </c>
      <c r="Y3" t="s">
        <v>184</v>
      </c>
      <c r="AC3" t="s">
        <v>185</v>
      </c>
      <c r="AF3" t="s">
        <v>59</v>
      </c>
      <c r="AI3" t="s">
        <v>22</v>
      </c>
    </row>
    <row r="4" spans="3:37" x14ac:dyDescent="0.35">
      <c r="H4" t="s">
        <v>42</v>
      </c>
      <c r="L4" t="s">
        <v>40</v>
      </c>
      <c r="S4">
        <v>2</v>
      </c>
      <c r="AC4" t="s">
        <v>190</v>
      </c>
      <c r="AF4" t="s">
        <v>62</v>
      </c>
    </row>
    <row r="5" spans="3:37" x14ac:dyDescent="0.35">
      <c r="H5" t="s">
        <v>24</v>
      </c>
      <c r="L5" t="s">
        <v>48</v>
      </c>
      <c r="S5">
        <v>3</v>
      </c>
    </row>
    <row r="6" spans="3:37" x14ac:dyDescent="0.35">
      <c r="H6" t="s">
        <v>16</v>
      </c>
      <c r="L6" t="s">
        <v>17</v>
      </c>
      <c r="S6">
        <v>4</v>
      </c>
    </row>
    <row r="7" spans="3:37" x14ac:dyDescent="0.35">
      <c r="H7" t="s">
        <v>71</v>
      </c>
      <c r="L7" t="s">
        <v>52</v>
      </c>
      <c r="S7">
        <v>5</v>
      </c>
    </row>
    <row r="8" spans="3:37" x14ac:dyDescent="0.35">
      <c r="L8" t="s">
        <v>20</v>
      </c>
      <c r="S8">
        <v>6</v>
      </c>
    </row>
    <row r="9" spans="3:37" x14ac:dyDescent="0.35">
      <c r="L9" t="s">
        <v>25</v>
      </c>
      <c r="S9">
        <v>7</v>
      </c>
    </row>
    <row r="10" spans="3:37" x14ac:dyDescent="0.35">
      <c r="L10" t="s">
        <v>33</v>
      </c>
      <c r="S10">
        <v>8</v>
      </c>
    </row>
    <row r="11" spans="3:37" x14ac:dyDescent="0.35">
      <c r="L11" t="s">
        <v>36</v>
      </c>
      <c r="S11">
        <v>9</v>
      </c>
    </row>
    <row r="12" spans="3:37" x14ac:dyDescent="0.35">
      <c r="L12" t="s">
        <v>54</v>
      </c>
      <c r="S12">
        <v>10</v>
      </c>
    </row>
    <row r="13" spans="3:37" x14ac:dyDescent="0.35">
      <c r="S13">
        <v>11</v>
      </c>
    </row>
    <row r="14" spans="3:37" x14ac:dyDescent="0.35">
      <c r="S14">
        <v>12</v>
      </c>
    </row>
    <row r="15" spans="3:37" x14ac:dyDescent="0.35">
      <c r="S15">
        <v>13</v>
      </c>
    </row>
    <row r="16" spans="3:37" x14ac:dyDescent="0.35">
      <c r="S16">
        <v>14</v>
      </c>
    </row>
    <row r="17" spans="19:19" x14ac:dyDescent="0.35">
      <c r="S17">
        <v>15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1FC3E-3380-4F27-9F56-FDC5E655AFAF}">
  <sheetPr codeName="Sheet1"/>
  <dimension ref="A1:F4"/>
  <sheetViews>
    <sheetView workbookViewId="0">
      <selection activeCell="G2" sqref="G2"/>
    </sheetView>
  </sheetViews>
  <sheetFormatPr baseColWidth="10" defaultColWidth="8.7265625" defaultRowHeight="14.5" x14ac:dyDescent="0.35"/>
  <cols>
    <col min="1" max="1" width="11.08984375" customWidth="1"/>
    <col min="3" max="3" width="10.1796875" customWidth="1"/>
    <col min="5" max="5" width="10.08984375" customWidth="1"/>
  </cols>
  <sheetData>
    <row r="1" spans="1:6" x14ac:dyDescent="0.35">
      <c r="A1" s="10" t="s">
        <v>370</v>
      </c>
      <c r="B1" s="10" t="s">
        <v>352</v>
      </c>
      <c r="C1" s="10" t="s">
        <v>359</v>
      </c>
      <c r="D1" s="10" t="s">
        <v>372</v>
      </c>
      <c r="E1" s="10" t="s">
        <v>371</v>
      </c>
      <c r="F1" s="10" t="s">
        <v>394</v>
      </c>
    </row>
    <row r="2" spans="1:6" x14ac:dyDescent="0.35">
      <c r="A2" t="s">
        <v>28</v>
      </c>
      <c r="B2" t="s">
        <v>88</v>
      </c>
      <c r="C2" t="s">
        <v>89</v>
      </c>
      <c r="D2" t="s">
        <v>357</v>
      </c>
      <c r="E2" t="s">
        <v>355</v>
      </c>
      <c r="F2">
        <f t="shared" ref="F2:F4" si="0">_xlfn.NUMBERVALUE(LEFT(E2,FIND("h",E2,1)-1))</f>
        <v>12</v>
      </c>
    </row>
    <row r="3" spans="1:6" x14ac:dyDescent="0.35">
      <c r="A3" t="s">
        <v>27</v>
      </c>
      <c r="B3" t="s">
        <v>86</v>
      </c>
      <c r="C3" t="s">
        <v>87</v>
      </c>
      <c r="D3" t="s">
        <v>379</v>
      </c>
      <c r="E3" t="s">
        <v>380</v>
      </c>
      <c r="F3">
        <f t="shared" si="0"/>
        <v>15</v>
      </c>
    </row>
    <row r="4" spans="1:6" x14ac:dyDescent="0.35">
      <c r="A4" t="s">
        <v>39</v>
      </c>
      <c r="B4" t="s">
        <v>102</v>
      </c>
      <c r="C4" t="s">
        <v>103</v>
      </c>
      <c r="D4" t="s">
        <v>381</v>
      </c>
      <c r="E4" t="s">
        <v>368</v>
      </c>
      <c r="F4">
        <f t="shared" si="0"/>
        <v>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3CAC0-294D-4264-A1D8-E285CB25A856}">
  <sheetPr codeName="Sheet6"/>
  <dimension ref="A1:C3"/>
  <sheetViews>
    <sheetView workbookViewId="0">
      <selection activeCell="E11" sqref="E11"/>
    </sheetView>
  </sheetViews>
  <sheetFormatPr baseColWidth="10" defaultColWidth="8.7265625" defaultRowHeight="14.5" x14ac:dyDescent="0.35"/>
  <cols>
    <col min="1" max="1" width="10.81640625" customWidth="1"/>
    <col min="2" max="2" width="12.54296875" customWidth="1"/>
    <col min="3" max="3" width="10.36328125" bestFit="1" customWidth="1"/>
  </cols>
  <sheetData>
    <row r="1" spans="1:3" x14ac:dyDescent="0.35">
      <c r="A1" s="10" t="s">
        <v>0</v>
      </c>
      <c r="B1" s="10" t="s">
        <v>373</v>
      </c>
      <c r="C1" s="10" t="s">
        <v>374</v>
      </c>
    </row>
    <row r="2" spans="1:3" x14ac:dyDescent="0.35">
      <c r="A2" t="s">
        <v>29</v>
      </c>
      <c r="B2" s="9">
        <v>45536</v>
      </c>
      <c r="C2" t="s">
        <v>357</v>
      </c>
    </row>
    <row r="3" spans="1:3" x14ac:dyDescent="0.35">
      <c r="A3" t="s">
        <v>38</v>
      </c>
      <c r="B3" s="9" t="s">
        <v>382</v>
      </c>
      <c r="C3" t="s">
        <v>383</v>
      </c>
    </row>
  </sheetData>
  <phoneticPr fontId="3"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EFEBA-1624-4583-ACB3-21F744B8E673}">
  <sheetPr codeName="Sheet7"/>
  <dimension ref="A1:R8"/>
  <sheetViews>
    <sheetView zoomScale="104" workbookViewId="0">
      <selection activeCell="A7" sqref="A7"/>
    </sheetView>
  </sheetViews>
  <sheetFormatPr baseColWidth="10" defaultColWidth="8.7265625" defaultRowHeight="14.5" x14ac:dyDescent="0.35"/>
  <cols>
    <col min="1" max="1" width="12.6328125" customWidth="1"/>
    <col min="2" max="2" width="11.81640625" bestFit="1" customWidth="1"/>
    <col min="3" max="3" width="10.1796875" customWidth="1"/>
    <col min="4" max="4" width="26.54296875" customWidth="1"/>
    <col min="5" max="5" width="21.90625" customWidth="1"/>
    <col min="6" max="6" width="22.90625" customWidth="1"/>
    <col min="7" max="7" width="21.6328125" customWidth="1"/>
    <col min="8" max="8" width="33.6328125" customWidth="1"/>
    <col min="9" max="9" width="25.81640625" customWidth="1"/>
    <col min="14" max="14" width="31" bestFit="1" customWidth="1"/>
    <col min="15" max="15" width="17.81640625" bestFit="1" customWidth="1"/>
  </cols>
  <sheetData>
    <row r="1" spans="1:18" x14ac:dyDescent="0.35">
      <c r="A1" t="s">
        <v>385</v>
      </c>
      <c r="B1" t="s">
        <v>352</v>
      </c>
      <c r="C1" t="s">
        <v>359</v>
      </c>
      <c r="D1" t="s">
        <v>386</v>
      </c>
      <c r="E1" t="s">
        <v>387</v>
      </c>
      <c r="F1" t="s">
        <v>388</v>
      </c>
      <c r="G1" t="s">
        <v>389</v>
      </c>
      <c r="H1" t="s">
        <v>390</v>
      </c>
      <c r="I1" t="s">
        <v>391</v>
      </c>
      <c r="J1" t="s">
        <v>394</v>
      </c>
    </row>
    <row r="2" spans="1:18" x14ac:dyDescent="0.35">
      <c r="A2" t="s">
        <v>27</v>
      </c>
      <c r="B2" t="s">
        <v>86</v>
      </c>
      <c r="C2" t="s">
        <v>87</v>
      </c>
      <c r="D2">
        <v>30000</v>
      </c>
      <c r="E2">
        <v>0</v>
      </c>
      <c r="F2">
        <v>65000</v>
      </c>
      <c r="G2">
        <v>0</v>
      </c>
      <c r="H2">
        <v>35000</v>
      </c>
      <c r="I2">
        <v>0</v>
      </c>
      <c r="J2">
        <f t="shared" ref="J2:J6" si="0">SUM(D2:I2)</f>
        <v>130000</v>
      </c>
      <c r="N2" s="13" t="s">
        <v>392</v>
      </c>
      <c r="O2" s="13" t="s">
        <v>393</v>
      </c>
      <c r="R2" t="s">
        <v>395</v>
      </c>
    </row>
    <row r="3" spans="1:18" x14ac:dyDescent="0.35">
      <c r="A3" t="s">
        <v>30</v>
      </c>
      <c r="B3" t="s">
        <v>92</v>
      </c>
      <c r="C3" t="s">
        <v>93</v>
      </c>
      <c r="D3">
        <v>30000</v>
      </c>
      <c r="E3">
        <v>0</v>
      </c>
      <c r="F3">
        <v>0</v>
      </c>
      <c r="G3">
        <v>0</v>
      </c>
      <c r="H3">
        <v>0</v>
      </c>
      <c r="I3">
        <v>0</v>
      </c>
      <c r="J3">
        <f t="shared" si="0"/>
        <v>30000</v>
      </c>
      <c r="N3" s="12" t="s">
        <v>386</v>
      </c>
      <c r="O3">
        <v>30000</v>
      </c>
      <c r="R3" t="s">
        <v>396</v>
      </c>
    </row>
    <row r="4" spans="1:18" x14ac:dyDescent="0.35">
      <c r="A4" t="s">
        <v>47</v>
      </c>
      <c r="B4" t="s">
        <v>111</v>
      </c>
      <c r="C4" t="s">
        <v>112</v>
      </c>
      <c r="D4">
        <v>30000</v>
      </c>
      <c r="E4">
        <v>0</v>
      </c>
      <c r="F4">
        <v>0</v>
      </c>
      <c r="G4">
        <v>60000</v>
      </c>
      <c r="H4">
        <v>0</v>
      </c>
      <c r="I4">
        <v>75000</v>
      </c>
      <c r="J4">
        <f t="shared" si="0"/>
        <v>165000</v>
      </c>
      <c r="N4" s="12" t="s">
        <v>387</v>
      </c>
      <c r="O4">
        <v>15000</v>
      </c>
    </row>
    <row r="5" spans="1:18" x14ac:dyDescent="0.35">
      <c r="A5" t="s">
        <v>61</v>
      </c>
      <c r="B5" t="s">
        <v>129</v>
      </c>
      <c r="C5" t="s">
        <v>130</v>
      </c>
      <c r="D5">
        <v>0</v>
      </c>
      <c r="E5">
        <v>0</v>
      </c>
      <c r="F5">
        <v>65000</v>
      </c>
      <c r="G5">
        <v>0</v>
      </c>
      <c r="H5">
        <v>0</v>
      </c>
      <c r="I5">
        <v>0</v>
      </c>
      <c r="J5">
        <f t="shared" si="0"/>
        <v>65000</v>
      </c>
      <c r="N5" s="12" t="s">
        <v>388</v>
      </c>
      <c r="O5">
        <v>65000</v>
      </c>
    </row>
    <row r="6" spans="1:18" x14ac:dyDescent="0.35">
      <c r="A6" t="s">
        <v>73</v>
      </c>
      <c r="B6" t="s">
        <v>148</v>
      </c>
      <c r="C6" t="s">
        <v>149</v>
      </c>
      <c r="D6">
        <v>30000</v>
      </c>
      <c r="E6">
        <v>0</v>
      </c>
      <c r="F6">
        <v>0</v>
      </c>
      <c r="G6">
        <v>0</v>
      </c>
      <c r="H6">
        <v>35000</v>
      </c>
      <c r="I6">
        <v>75000</v>
      </c>
      <c r="J6">
        <f t="shared" si="0"/>
        <v>140000</v>
      </c>
      <c r="N6" s="12" t="s">
        <v>389</v>
      </c>
      <c r="O6">
        <v>60000</v>
      </c>
    </row>
    <row r="7" spans="1:18" x14ac:dyDescent="0.35">
      <c r="N7" s="12" t="s">
        <v>390</v>
      </c>
      <c r="O7">
        <v>35000</v>
      </c>
    </row>
    <row r="8" spans="1:18" x14ac:dyDescent="0.35">
      <c r="N8" s="12" t="s">
        <v>391</v>
      </c>
      <c r="O8">
        <v>75000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EBA0-4E2B-4CB3-8865-4EF25EE5A147}">
  <sheetPr codeName="Sheet8"/>
  <dimension ref="A1:E3"/>
  <sheetViews>
    <sheetView workbookViewId="0">
      <selection activeCell="A2" sqref="A2"/>
    </sheetView>
  </sheetViews>
  <sheetFormatPr baseColWidth="10" defaultColWidth="8.7265625" defaultRowHeight="14.5" x14ac:dyDescent="0.35"/>
  <cols>
    <col min="1" max="1" width="11.08984375" customWidth="1"/>
    <col min="3" max="3" width="10.1796875" customWidth="1"/>
    <col min="4" max="4" width="10.36328125" bestFit="1" customWidth="1"/>
    <col min="5" max="5" width="19.54296875" customWidth="1"/>
  </cols>
  <sheetData>
    <row r="1" spans="1:5" x14ac:dyDescent="0.35">
      <c r="A1" s="10" t="s">
        <v>370</v>
      </c>
      <c r="B1" s="10" t="s">
        <v>352</v>
      </c>
      <c r="C1" s="10" t="s">
        <v>359</v>
      </c>
      <c r="D1" s="10" t="s">
        <v>353</v>
      </c>
      <c r="E1" s="10" t="s">
        <v>378</v>
      </c>
    </row>
    <row r="2" spans="1:5" x14ac:dyDescent="0.35">
      <c r="A2" t="s">
        <v>67</v>
      </c>
      <c r="B2" t="s">
        <v>139</v>
      </c>
      <c r="C2" t="s">
        <v>140</v>
      </c>
      <c r="D2" s="9">
        <v>45566</v>
      </c>
      <c r="E2">
        <v>15585</v>
      </c>
    </row>
    <row r="3" spans="1:5" x14ac:dyDescent="0.35">
      <c r="A3" t="s">
        <v>77</v>
      </c>
      <c r="B3" t="s">
        <v>153</v>
      </c>
      <c r="C3" t="s">
        <v>116</v>
      </c>
      <c r="D3" s="9">
        <v>45047</v>
      </c>
      <c r="E3">
        <v>15600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A98BA-7B3F-4EE9-8C56-0451315261FF}">
  <sheetPr codeName="Sheet9"/>
  <dimension ref="A1"/>
  <sheetViews>
    <sheetView workbookViewId="0">
      <selection activeCell="I22" sqref="I22"/>
    </sheetView>
  </sheetViews>
  <sheetFormatPr baseColWidth="10" defaultColWidth="8.7265625"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BULLETIN DE SALAIRE</vt:lpstr>
      <vt:lpstr>Sheet3</vt:lpstr>
      <vt:lpstr>DataSet_BON</vt:lpstr>
      <vt:lpstr>DASHBOARD</vt:lpstr>
      <vt:lpstr>Sheet1</vt:lpstr>
      <vt:lpstr>Sheet2</vt:lpstr>
      <vt:lpstr>FICHE_EMPLOYE</vt:lpstr>
      <vt:lpstr>Sheet5</vt:lpstr>
      <vt:lpstr>Sheet6</vt:lpstr>
      <vt:lpstr>INDEMNITES_PRIMES</vt:lpstr>
      <vt:lpstr>AVANCES</vt:lpstr>
      <vt:lpstr>MATRICULE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Papa amadou</dc:creator>
  <cp:lastModifiedBy>Samba DIENG</cp:lastModifiedBy>
  <cp:lastPrinted>2024-01-30T09:20:06Z</cp:lastPrinted>
  <dcterms:created xsi:type="dcterms:W3CDTF">2024-01-23T15:30:32Z</dcterms:created>
  <dcterms:modified xsi:type="dcterms:W3CDTF">2025-05-26T18:48:27Z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2024-01-23T15:30:59Z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1095d49e-f848-4853-b028-e7f1a0859453</vt:lpwstr>
  </property>
  <property fmtid="{D5CDD505-2E9C-101B-9397-08002B2CF9AE}" pid="7" name="MSIP_Label_defa4170-0d19-0005-0004-bc88714345d2_ActionId">
    <vt:lpwstr>15331e4b-a8b1-4afc-a572-5263532873c9</vt:lpwstr>
  </property>
  <property fmtid="{D5CDD505-2E9C-101B-9397-08002B2CF9AE}" pid="8" name="MSIP_Label_defa4170-0d19-0005-0004-bc88714345d2_ContentBits">
    <vt:lpwstr>0</vt:lpwstr>
  </property>
</Properties>
</file>