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BA67334C-22C5-1640-849C-8BA9FFB76F2B}" xr6:coauthVersionLast="45" xr6:coauthVersionMax="45" xr10:uidLastSave="{00000000-0000-0000-0000-000000000000}"/>
  <bookViews>
    <workbookView xWindow="560" yWindow="80" windowWidth="25440" windowHeight="15360" activeTab="3" xr2:uid="{2432F90C-5DE0-1D48-A720-1C53E4F9E239}"/>
  </bookViews>
  <sheets>
    <sheet name="balance sheet" sheetId="1" r:id="rId1"/>
    <sheet name="income statement" sheetId="2" r:id="rId2"/>
    <sheet name="cash flows" sheetId="3" r:id="rId3"/>
    <sheet name="dcf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4" l="1"/>
  <c r="D113" i="4"/>
  <c r="D111" i="4"/>
  <c r="C110" i="4"/>
  <c r="D110" i="4"/>
  <c r="B110" i="4"/>
  <c r="C109" i="4"/>
  <c r="D109" i="4"/>
  <c r="B109" i="4"/>
  <c r="C108" i="4"/>
  <c r="D108" i="4"/>
  <c r="B108" i="4"/>
  <c r="E106" i="4"/>
  <c r="D105" i="4"/>
  <c r="D106" i="4"/>
  <c r="F106" i="4" s="1"/>
  <c r="G106" i="4" s="1"/>
  <c r="H106" i="4" s="1"/>
  <c r="I106" i="4" s="1"/>
  <c r="C106" i="4"/>
  <c r="D101" i="4"/>
  <c r="D102" i="4" s="1"/>
  <c r="E102" i="4" s="1"/>
  <c r="C101" i="4"/>
  <c r="C102" i="4" s="1"/>
  <c r="C95" i="4"/>
  <c r="D95" i="4"/>
  <c r="B95" i="4"/>
  <c r="F91" i="4"/>
  <c r="G91" i="4"/>
  <c r="H91" i="4" s="1"/>
  <c r="I91" i="4" s="1"/>
  <c r="E91" i="4"/>
  <c r="C91" i="4"/>
  <c r="D91" i="4"/>
  <c r="C93" i="4"/>
  <c r="D93" i="4"/>
  <c r="E93" i="4" s="1"/>
  <c r="B93" i="4"/>
  <c r="B91" i="4"/>
  <c r="F93" i="4" l="1"/>
  <c r="G93" i="4" l="1"/>
  <c r="H93" i="4" l="1"/>
  <c r="I93" i="4" l="1"/>
  <c r="E38" i="4" l="1"/>
  <c r="F46" i="4"/>
  <c r="G46" i="4" s="1"/>
  <c r="H46" i="4" s="1"/>
  <c r="I46" i="4" s="1"/>
  <c r="E46" i="4"/>
  <c r="F44" i="4"/>
  <c r="G44" i="4" s="1"/>
  <c r="H44" i="4" s="1"/>
  <c r="I44" i="4" s="1"/>
  <c r="E44" i="4"/>
  <c r="E42" i="4"/>
  <c r="F42" i="4" s="1"/>
  <c r="G42" i="4" s="1"/>
  <c r="H42" i="4" s="1"/>
  <c r="I42" i="4" s="1"/>
  <c r="E40" i="4"/>
  <c r="F40" i="4" s="1"/>
  <c r="G40" i="4" s="1"/>
  <c r="F38" i="4"/>
  <c r="G38" i="4" s="1"/>
  <c r="H38" i="4" s="1"/>
  <c r="E49" i="4"/>
  <c r="E50" i="4" s="1"/>
  <c r="E77" i="4"/>
  <c r="F77" i="4"/>
  <c r="G77" i="4"/>
  <c r="H77" i="4"/>
  <c r="I77" i="4"/>
  <c r="D84" i="4"/>
  <c r="C77" i="4"/>
  <c r="D47" i="4"/>
  <c r="C47" i="4"/>
  <c r="D45" i="4"/>
  <c r="C45" i="4"/>
  <c r="D43" i="4"/>
  <c r="C43" i="4"/>
  <c r="D41" i="4"/>
  <c r="C41" i="4"/>
  <c r="D39" i="4"/>
  <c r="C39" i="4"/>
  <c r="E14" i="4"/>
  <c r="F14" i="4" s="1"/>
  <c r="G14" i="4" s="1"/>
  <c r="H14" i="4" s="1"/>
  <c r="I14" i="4" s="1"/>
  <c r="E12" i="4"/>
  <c r="F12" i="4" s="1"/>
  <c r="G12" i="4" s="1"/>
  <c r="E10" i="4"/>
  <c r="F10" i="4" s="1"/>
  <c r="D15" i="4"/>
  <c r="C15" i="4"/>
  <c r="B17" i="4"/>
  <c r="B27" i="4" s="1"/>
  <c r="C17" i="4"/>
  <c r="C23" i="4" s="1"/>
  <c r="D17" i="4"/>
  <c r="D27" i="4" s="1"/>
  <c r="D13" i="4"/>
  <c r="C13" i="4"/>
  <c r="D11" i="4"/>
  <c r="C11" i="4"/>
  <c r="D77" i="4"/>
  <c r="C83" i="4"/>
  <c r="C85" i="4" s="1"/>
  <c r="B83" i="4"/>
  <c r="B85" i="4" s="1"/>
  <c r="D83" i="4"/>
  <c r="D85" i="4" s="1"/>
  <c r="D86" i="4" s="1"/>
  <c r="C69" i="4"/>
  <c r="B69" i="4"/>
  <c r="D69" i="4"/>
  <c r="D49" i="4"/>
  <c r="D65" i="4" s="1"/>
  <c r="C49" i="4"/>
  <c r="C67" i="4" s="1"/>
  <c r="B49" i="4"/>
  <c r="B65" i="4" s="1"/>
  <c r="B31" i="4"/>
  <c r="C31" i="4"/>
  <c r="C32" i="4" s="1"/>
  <c r="D31" i="4"/>
  <c r="E60" i="4" l="1"/>
  <c r="E64" i="4"/>
  <c r="E58" i="4"/>
  <c r="E62" i="4"/>
  <c r="E66" i="4"/>
  <c r="F49" i="4"/>
  <c r="G49" i="4"/>
  <c r="H40" i="4"/>
  <c r="I40" i="4" s="1"/>
  <c r="I38" i="4"/>
  <c r="B63" i="4"/>
  <c r="B67" i="4"/>
  <c r="B70" i="4"/>
  <c r="D32" i="4"/>
  <c r="B32" i="4"/>
  <c r="D70" i="4"/>
  <c r="C70" i="4"/>
  <c r="E17" i="4"/>
  <c r="C27" i="4"/>
  <c r="B59" i="4"/>
  <c r="D63" i="4"/>
  <c r="D67" i="4"/>
  <c r="C84" i="4"/>
  <c r="F17" i="4"/>
  <c r="G10" i="4"/>
  <c r="H10" i="4" s="1"/>
  <c r="E18" i="4"/>
  <c r="B25" i="4"/>
  <c r="D25" i="4"/>
  <c r="B29" i="4"/>
  <c r="D29" i="4"/>
  <c r="D23" i="4"/>
  <c r="B23" i="4"/>
  <c r="D50" i="4"/>
  <c r="B51" i="4"/>
  <c r="C51" i="4"/>
  <c r="C59" i="4"/>
  <c r="C61" i="4"/>
  <c r="C65" i="4"/>
  <c r="B34" i="4"/>
  <c r="B35" i="4" s="1"/>
  <c r="C86" i="4"/>
  <c r="C18" i="4"/>
  <c r="C25" i="4"/>
  <c r="C29" i="4"/>
  <c r="C50" i="4"/>
  <c r="D51" i="4"/>
  <c r="D59" i="4"/>
  <c r="B61" i="4"/>
  <c r="D61" i="4"/>
  <c r="C63" i="4"/>
  <c r="B84" i="4"/>
  <c r="H12" i="4"/>
  <c r="I12" i="4" s="1"/>
  <c r="I10" i="4"/>
  <c r="D18" i="4"/>
  <c r="D34" i="4"/>
  <c r="D35" i="4" s="1"/>
  <c r="C34" i="4"/>
  <c r="C35" i="4" s="1"/>
  <c r="H49" i="4" l="1"/>
  <c r="G66" i="4"/>
  <c r="G62" i="4"/>
  <c r="G64" i="4"/>
  <c r="G60" i="4"/>
  <c r="G58" i="4"/>
  <c r="H64" i="4"/>
  <c r="H60" i="4"/>
  <c r="H58" i="4"/>
  <c r="H66" i="4"/>
  <c r="H62" i="4"/>
  <c r="F64" i="4"/>
  <c r="F60" i="4"/>
  <c r="F58" i="4"/>
  <c r="F66" i="4"/>
  <c r="F62" i="4"/>
  <c r="F50" i="4"/>
  <c r="E69" i="4"/>
  <c r="E70" i="4" s="1"/>
  <c r="E105" i="4"/>
  <c r="E110" i="4" s="1"/>
  <c r="E90" i="4"/>
  <c r="E83" i="4"/>
  <c r="E85" i="4" s="1"/>
  <c r="E101" i="4"/>
  <c r="E111" i="4" s="1"/>
  <c r="E92" i="4"/>
  <c r="E28" i="4"/>
  <c r="E24" i="4"/>
  <c r="E22" i="4"/>
  <c r="E51" i="4"/>
  <c r="E26" i="4"/>
  <c r="F105" i="4"/>
  <c r="F110" i="4" s="1"/>
  <c r="F83" i="4"/>
  <c r="F85" i="4" s="1"/>
  <c r="F90" i="4"/>
  <c r="F92" i="4"/>
  <c r="F28" i="4"/>
  <c r="F24" i="4"/>
  <c r="F22" i="4"/>
  <c r="F26" i="4"/>
  <c r="F18" i="4"/>
  <c r="F51" i="4"/>
  <c r="I49" i="4"/>
  <c r="G50" i="4"/>
  <c r="H50" i="4"/>
  <c r="B53" i="4"/>
  <c r="G17" i="4"/>
  <c r="I17" i="4"/>
  <c r="H17" i="4"/>
  <c r="D53" i="4"/>
  <c r="D55" i="4" s="1"/>
  <c r="C53" i="4"/>
  <c r="C55" i="4" s="1"/>
  <c r="F69" i="4" l="1"/>
  <c r="F70" i="4" s="1"/>
  <c r="I51" i="4"/>
  <c r="I66" i="4"/>
  <c r="I62" i="4"/>
  <c r="I64" i="4"/>
  <c r="I60" i="4"/>
  <c r="I58" i="4"/>
  <c r="F31" i="4"/>
  <c r="F32" i="4" s="1"/>
  <c r="E31" i="4"/>
  <c r="E95" i="4"/>
  <c r="E108" i="4" s="1"/>
  <c r="E86" i="4"/>
  <c r="F95" i="4"/>
  <c r="F108" i="4" s="1"/>
  <c r="F86" i="4"/>
  <c r="H18" i="4"/>
  <c r="H105" i="4"/>
  <c r="H110" i="4" s="1"/>
  <c r="H83" i="4"/>
  <c r="H85" i="4" s="1"/>
  <c r="H90" i="4"/>
  <c r="H92" i="4"/>
  <c r="H28" i="4"/>
  <c r="H24" i="4"/>
  <c r="H22" i="4"/>
  <c r="H26" i="4"/>
  <c r="G18" i="4"/>
  <c r="G90" i="4"/>
  <c r="G105" i="4"/>
  <c r="G110" i="4" s="1"/>
  <c r="G83" i="4"/>
  <c r="G85" i="4" s="1"/>
  <c r="G92" i="4"/>
  <c r="G26" i="4"/>
  <c r="G28" i="4"/>
  <c r="G24" i="4"/>
  <c r="G22" i="4"/>
  <c r="H51" i="4"/>
  <c r="G51" i="4"/>
  <c r="I90" i="4"/>
  <c r="I105" i="4"/>
  <c r="I110" i="4" s="1"/>
  <c r="I83" i="4"/>
  <c r="I85" i="4" s="1"/>
  <c r="I92" i="4"/>
  <c r="I26" i="4"/>
  <c r="I28" i="4"/>
  <c r="I24" i="4"/>
  <c r="I22" i="4"/>
  <c r="F34" i="4"/>
  <c r="G69" i="4"/>
  <c r="G70" i="4" s="1"/>
  <c r="I50" i="4"/>
  <c r="H69" i="4"/>
  <c r="H70" i="4" s="1"/>
  <c r="B72" i="4"/>
  <c r="B74" i="4" s="1"/>
  <c r="B55" i="4"/>
  <c r="I18" i="4"/>
  <c r="C72" i="4"/>
  <c r="C74" i="4" s="1"/>
  <c r="C54" i="4"/>
  <c r="D72" i="4"/>
  <c r="D74" i="4" s="1"/>
  <c r="D54" i="4"/>
  <c r="I69" i="4" l="1"/>
  <c r="I70" i="4" s="1"/>
  <c r="G31" i="4"/>
  <c r="G32" i="4" s="1"/>
  <c r="E32" i="4"/>
  <c r="E34" i="4"/>
  <c r="G95" i="4"/>
  <c r="G108" i="4" s="1"/>
  <c r="G86" i="4"/>
  <c r="F35" i="4"/>
  <c r="F53" i="4"/>
  <c r="I31" i="4"/>
  <c r="I95" i="4"/>
  <c r="I108" i="4" s="1"/>
  <c r="I86" i="4"/>
  <c r="G34" i="4"/>
  <c r="H31" i="4"/>
  <c r="H95" i="4"/>
  <c r="H108" i="4" s="1"/>
  <c r="H86" i="4"/>
  <c r="F102" i="4"/>
  <c r="F101" i="4" s="1"/>
  <c r="F111" i="4" s="1"/>
  <c r="E35" i="4" l="1"/>
  <c r="E53" i="4"/>
  <c r="F54" i="4" s="1"/>
  <c r="G35" i="4"/>
  <c r="G53" i="4"/>
  <c r="F55" i="4"/>
  <c r="F72" i="4"/>
  <c r="F73" i="4" s="1"/>
  <c r="F109" i="4" s="1"/>
  <c r="F113" i="4" s="1"/>
  <c r="F115" i="4" s="1"/>
  <c r="H32" i="4"/>
  <c r="H34" i="4"/>
  <c r="I32" i="4"/>
  <c r="I34" i="4"/>
  <c r="G102" i="4"/>
  <c r="H102" i="4" s="1"/>
  <c r="H101" i="4" s="1"/>
  <c r="I102" i="4"/>
  <c r="I101" i="4" s="1"/>
  <c r="E55" i="4" l="1"/>
  <c r="E72" i="4"/>
  <c r="E73" i="4" s="1"/>
  <c r="E109" i="4" s="1"/>
  <c r="E113" i="4" s="1"/>
  <c r="E115" i="4" s="1"/>
  <c r="E54" i="4"/>
  <c r="I111" i="4"/>
  <c r="I35" i="4"/>
  <c r="I53" i="4"/>
  <c r="H35" i="4"/>
  <c r="H53" i="4"/>
  <c r="G55" i="4"/>
  <c r="G54" i="4"/>
  <c r="G72" i="4"/>
  <c r="G73" i="4" s="1"/>
  <c r="G109" i="4" s="1"/>
  <c r="G101" i="4"/>
  <c r="G111" i="4" s="1"/>
  <c r="G113" i="4" l="1"/>
  <c r="G115" i="4" s="1"/>
  <c r="H54" i="4"/>
  <c r="H55" i="4"/>
  <c r="H72" i="4"/>
  <c r="H73" i="4" s="1"/>
  <c r="H109" i="4" s="1"/>
  <c r="I54" i="4"/>
  <c r="I55" i="4"/>
  <c r="I72" i="4"/>
  <c r="I73" i="4" s="1"/>
  <c r="I109" i="4" s="1"/>
  <c r="I113" i="4" s="1"/>
  <c r="H111" i="4"/>
  <c r="H113" i="4" l="1"/>
  <c r="H115" i="4" s="1"/>
  <c r="J113" i="4"/>
  <c r="I115" i="4" s="1"/>
  <c r="B121" i="4" s="1"/>
  <c r="B125" i="4" s="1"/>
  <c r="B128" i="4" s="1"/>
</calcChain>
</file>

<file path=xl/sharedStrings.xml><?xml version="1.0" encoding="utf-8"?>
<sst xmlns="http://schemas.openxmlformats.org/spreadsheetml/2006/main" count="413" uniqueCount="285">
  <si>
    <t>Assets</t>
  </si>
  <si>
    <t>Cash and cash equivalents</t>
  </si>
  <si>
    <t>$</t>
  </si>
  <si>
    <t>494,711 </t>
  </si>
  <si>
    <t>Restricted cash and restricted cash equivalents</t>
  </si>
  <si>
    <t>273,726 </t>
  </si>
  <si>
    <t>Investment securities (includes available-for-sale securities of $195,438 and $194,907 at fair value with associated amortized cost of $203,418 and $195,796 as of December 31, 2022 and 2021, respectively)</t>
  </si>
  <si>
    <t>396,769 </t>
  </si>
  <si>
    <t>569,595 </t>
  </si>
  <si>
    <t>Loans held for sale, at fair value</t>
  </si>
  <si>
    <t>13,557,074 </t>
  </si>
  <si>
    <t>5,952,972 </t>
  </si>
  <si>
    <t>Loans held for investment (less allowance for credit losses on loans at amortized cost of $40,788 and $7,037 as of December 31, 2022 and 2021, respectively)</t>
  </si>
  <si>
    <t>307,957 </t>
  </si>
  <si>
    <t>115,912 </t>
  </si>
  <si>
    <t>Servicing rights</t>
  </si>
  <si>
    <t>149,854 </t>
  </si>
  <si>
    <t>168,259 </t>
  </si>
  <si>
    <t>Equity method investments</t>
  </si>
  <si>
    <t>— </t>
  </si>
  <si>
    <t>19,739 </t>
  </si>
  <si>
    <t>Property, equipment and software</t>
  </si>
  <si>
    <t>Goodwill</t>
  </si>
  <si>
    <t>1,622,991 </t>
  </si>
  <si>
    <t>898,527 </t>
  </si>
  <si>
    <t>Intangible assets</t>
  </si>
  <si>
    <t>442,155 </t>
  </si>
  <si>
    <t>284,579 </t>
  </si>
  <si>
    <t>Operating lease right-of-use assets</t>
  </si>
  <si>
    <t>97,135 </t>
  </si>
  <si>
    <t>115,191 </t>
  </si>
  <si>
    <t>Other assets (less allowance for credit losses of $2,785 and $2,292 as of December 31, 2022 and 2021, respectively)</t>
  </si>
  <si>
    <t>417,334 </t>
  </si>
  <si>
    <t>171,242 </t>
  </si>
  <si>
    <t>Total assets</t>
  </si>
  <si>
    <t>19,007,675 </t>
  </si>
  <si>
    <t>Liabilities, temporary equity and permanent equity</t>
  </si>
  <si>
    <t>Liabilities:</t>
  </si>
  <si>
    <t>Deposits:</t>
  </si>
  <si>
    <t>Noninterest-bearing deposits</t>
  </si>
  <si>
    <t>76,504 </t>
  </si>
  <si>
    <t>Interest-bearing deposits</t>
  </si>
  <si>
    <t>7,265,792 </t>
  </si>
  <si>
    <t>Total deposits</t>
  </si>
  <si>
    <t>7,342,296 </t>
  </si>
  <si>
    <t>Accounts payable, accruals and other liabilities</t>
  </si>
  <si>
    <t>516,215 </t>
  </si>
  <si>
    <t>298,164 </t>
  </si>
  <si>
    <t>Operating lease liabilities</t>
  </si>
  <si>
    <t>117,758 </t>
  </si>
  <si>
    <t>138,794 </t>
  </si>
  <si>
    <t>Debt</t>
  </si>
  <si>
    <t>Residual interests classified as debt</t>
  </si>
  <si>
    <t>17,048 </t>
  </si>
  <si>
    <t>93,682 </t>
  </si>
  <si>
    <t>Total liabilities</t>
  </si>
  <si>
    <t>Commitments, guarantees, concentrations and contingencies (Note 18)</t>
  </si>
  <si>
    <r>
      <t>Temporary equity</t>
    </r>
    <r>
      <rPr>
        <sz val="5.85"/>
        <color rgb="FF000000"/>
        <rFont val="Times New Roman"/>
        <family val="1"/>
      </rPr>
      <t>(1)</t>
    </r>
    <r>
      <rPr>
        <sz val="9"/>
        <color rgb="FF000000"/>
        <rFont val="Times New Roman"/>
        <family val="1"/>
      </rPr>
      <t>:</t>
    </r>
  </si>
  <si>
    <t>Redeemable preferred stock, $0.00 par value: 100,000,000 and 100,000,000 shares authorized; 3,234,000 and 3,234,000 shares issued and outstanding as of December 31, 2022 and 2021, respectively</t>
  </si>
  <si>
    <t>320,374 </t>
  </si>
  <si>
    <t>Permanent equity:</t>
  </si>
  <si>
    <r>
      <t> Common stock, $0.00 par value: 3,100,000,000 and 3,100,000,000 shares authorized; 933,896,120 and 828,154,462 shares issued and outstanding as of December 31, 2022 and 2021, respectively</t>
    </r>
    <r>
      <rPr>
        <sz val="5.85"/>
        <color rgb="FF000000"/>
        <rFont val="Times New Roman"/>
        <family val="1"/>
      </rPr>
      <t>(2)</t>
    </r>
  </si>
  <si>
    <t>93 </t>
  </si>
  <si>
    <t>83 </t>
  </si>
  <si>
    <t>Additional paid-in capital</t>
  </si>
  <si>
    <t>6,719,826 </t>
  </si>
  <si>
    <t>5,561,831 </t>
  </si>
  <si>
    <t>Accumulated other comprehensive loss</t>
  </si>
  <si>
    <t>Accumulated deficit</t>
  </si>
  <si>
    <t>Total permanent equity</t>
  </si>
  <si>
    <t>5,208,102 </t>
  </si>
  <si>
    <t>4,377,329 </t>
  </si>
  <si>
    <t>Total liabilities, temporary equity and permanent equity</t>
  </si>
  <si>
    <t>Interest income</t>
  </si>
  <si>
    <t>Loans</t>
  </si>
  <si>
    <t>Securitizations</t>
  </si>
  <si>
    <t>Other</t>
  </si>
  <si>
    <t>Interest expense</t>
  </si>
  <si>
    <t>Securitizations and warehouses</t>
  </si>
  <si>
    <t>Noninterest income</t>
  </si>
  <si>
    <t>Loan origination and sales</t>
  </si>
  <si>
    <t>Servicing</t>
  </si>
  <si>
    <t>Technology products and solutions</t>
  </si>
  <si>
    <t>Noninterest expense</t>
  </si>
  <si>
    <t>Technology and product development</t>
  </si>
  <si>
    <t>Sales and marketing</t>
  </si>
  <si>
    <t>Cost of operations</t>
  </si>
  <si>
    <t>General and administrative</t>
  </si>
  <si>
    <t>Income tax (expense) benefit</t>
  </si>
  <si>
    <t>Other comprehensive loss</t>
  </si>
  <si>
    <t>Loss per share (Note 19)</t>
  </si>
  <si>
    <t>SoFi Technologies, Inc.</t>
  </si>
  <si>
    <t>Consolidated Statements of Operations and Comprehensive Loss</t>
  </si>
  <si>
    <t>(In Thousands, Except for Share and Per Share Data)</t>
  </si>
  <si>
    <t>Year Ended December 31,</t>
  </si>
  <si>
    <t>749,071 </t>
  </si>
  <si>
    <t>337,862 </t>
  </si>
  <si>
    <t>330,353 </t>
  </si>
  <si>
    <t>10,433 </t>
  </si>
  <si>
    <t>14,109 </t>
  </si>
  <si>
    <t>24,031 </t>
  </si>
  <si>
    <t>13,867 </t>
  </si>
  <si>
    <t>3,049 </t>
  </si>
  <si>
    <t>9,153 </t>
  </si>
  <si>
    <t>Total interest income</t>
  </si>
  <si>
    <t>773,371 </t>
  </si>
  <si>
    <t>355,020 </t>
  </si>
  <si>
    <t>363,537 </t>
  </si>
  <si>
    <t>110,127 </t>
  </si>
  <si>
    <t>90,485 </t>
  </si>
  <si>
    <t>155,150 </t>
  </si>
  <si>
    <t>Deposits</t>
  </si>
  <si>
    <t>59,793 </t>
  </si>
  <si>
    <t>Corporate borrowings</t>
  </si>
  <si>
    <t>18,438 </t>
  </si>
  <si>
    <t>10,345 </t>
  </si>
  <si>
    <t>27,974 </t>
  </si>
  <si>
    <t>917 </t>
  </si>
  <si>
    <t>1,946 </t>
  </si>
  <si>
    <t>2,482 </t>
  </si>
  <si>
    <t>Total interest expense</t>
  </si>
  <si>
    <t>189,275 </t>
  </si>
  <si>
    <t>102,776 </t>
  </si>
  <si>
    <t>185,606 </t>
  </si>
  <si>
    <t>Net interest income</t>
  </si>
  <si>
    <t>584,096 </t>
  </si>
  <si>
    <t>252,244 </t>
  </si>
  <si>
    <t>177,931 </t>
  </si>
  <si>
    <t>605,403 </t>
  </si>
  <si>
    <t>497,626 </t>
  </si>
  <si>
    <t>371,323 </t>
  </si>
  <si>
    <t>43,547 </t>
  </si>
  <si>
    <t>304,901 </t>
  </si>
  <si>
    <t>191,847 </t>
  </si>
  <si>
    <t>90,128 </t>
  </si>
  <si>
    <t>75,619 </t>
  </si>
  <si>
    <t>60,298 </t>
  </si>
  <si>
    <t>15,827 </t>
  </si>
  <si>
    <t>Total noninterest income</t>
  </si>
  <si>
    <t>989,439 </t>
  </si>
  <si>
    <t>732,628 </t>
  </si>
  <si>
    <t>387,601 </t>
  </si>
  <si>
    <t>Total net revenue</t>
  </si>
  <si>
    <t>1,573,535 </t>
  </si>
  <si>
    <t>984,872 </t>
  </si>
  <si>
    <t>565,532 </t>
  </si>
  <si>
    <t>405,257 </t>
  </si>
  <si>
    <t>276,087 </t>
  </si>
  <si>
    <t>201,199 </t>
  </si>
  <si>
    <t>617,823 </t>
  </si>
  <si>
    <t>426,875 </t>
  </si>
  <si>
    <t>276,577 </t>
  </si>
  <si>
    <t>313,226 </t>
  </si>
  <si>
    <t>256,980 </t>
  </si>
  <si>
    <t>178,896 </t>
  </si>
  <si>
    <t>501,618 </t>
  </si>
  <si>
    <t>498,534 </t>
  </si>
  <si>
    <t>237,381 </t>
  </si>
  <si>
    <t>Provision for credit losses</t>
  </si>
  <si>
    <t>54,332 </t>
  </si>
  <si>
    <t>7,573 </t>
  </si>
  <si>
    <t>Total noninterest expense</t>
  </si>
  <si>
    <t>1,892,256 </t>
  </si>
  <si>
    <t>1,466,049 </t>
  </si>
  <si>
    <t>894,053 </t>
  </si>
  <si>
    <t>Loss before income taxes</t>
  </si>
  <si>
    <t>104,468 </t>
  </si>
  <si>
    <t>Net loss</t>
  </si>
  <si>
    <t>Unrealized losses on available-for-sale securities, net</t>
  </si>
  <si>
    <t>Foreign currency translation adjustments, net</t>
  </si>
  <si>
    <t>435 </t>
  </si>
  <si>
    <t>46 </t>
  </si>
  <si>
    <t>Total other comprehensive loss</t>
  </si>
  <si>
    <t>Comprehensive loss</t>
  </si>
  <si>
    <t>Loss per share – basic</t>
  </si>
  <si>
    <t>Loss per share – diluted</t>
  </si>
  <si>
    <t>Weighted average common stock outstanding – basic</t>
  </si>
  <si>
    <t>900,886,113 </t>
  </si>
  <si>
    <t>526,730,261 </t>
  </si>
  <si>
    <t>73,851,108 </t>
  </si>
  <si>
    <t>Weighted average common stock outstanding – diluted</t>
  </si>
  <si>
    <t>Consolidated Statements of Cash Flows </t>
  </si>
  <si>
    <t>(In Thousands)</t>
  </si>
  <si>
    <t>Year Ended December 31,</t>
  </si>
  <si>
    <t>Operating activities</t>
  </si>
  <si>
    <t>Adjustments to reconcile net loss to net cash used in operating activities:</t>
  </si>
  <si>
    <t>Share-based compensation expense</t>
  </si>
  <si>
    <t>305,994 </t>
  </si>
  <si>
    <t>239,011 </t>
  </si>
  <si>
    <t>99,870 </t>
  </si>
  <si>
    <t>Depreciation and amortization</t>
  </si>
  <si>
    <t>151,360 </t>
  </si>
  <si>
    <t>101,568 </t>
  </si>
  <si>
    <t>69,832 </t>
  </si>
  <si>
    <t>Deferred debt issuance and discount expense</t>
  </si>
  <si>
    <t>18,292 </t>
  </si>
  <si>
    <t>28,310 </t>
  </si>
  <si>
    <t>Deferred income taxes</t>
  </si>
  <si>
    <t>1,204 </t>
  </si>
  <si>
    <t>Fair value changes in residual interests classified as debt</t>
  </si>
  <si>
    <t>6,608 </t>
  </si>
  <si>
    <t>22,802 </t>
  </si>
  <si>
    <t>38,216 </t>
  </si>
  <si>
    <t>Fair value changes in securitization investments</t>
  </si>
  <si>
    <t>13,600 </t>
  </si>
  <si>
    <t>Fair value changes in warrant liabilities</t>
  </si>
  <si>
    <t>107,328 </t>
  </si>
  <si>
    <t>20,525 </t>
  </si>
  <si>
    <t>Equity method investment earnings</t>
  </si>
  <si>
    <t>261 </t>
  </si>
  <si>
    <t>Accretion of seller note interest expense</t>
  </si>
  <si>
    <t>6,002 </t>
  </si>
  <si>
    <t>13,426 </t>
  </si>
  <si>
    <t>2,030 </t>
  </si>
  <si>
    <t>Changes in operating assets and liabilities:</t>
  </si>
  <si>
    <t>Changes in loans held for sale, net</t>
  </si>
  <si>
    <t>Servicing assets</t>
  </si>
  <si>
    <t>18,405 </t>
  </si>
  <si>
    <t>52,021 </t>
  </si>
  <si>
    <t>Related party notes receivable interest income</t>
  </si>
  <si>
    <t>1,399 </t>
  </si>
  <si>
    <t>1,121 </t>
  </si>
  <si>
    <t>Other assets</t>
  </si>
  <si>
    <t>6,365 </t>
  </si>
  <si>
    <t>95,161 </t>
  </si>
  <si>
    <t>Net cash used in operating activities</t>
  </si>
  <si>
    <t>Investing activities</t>
  </si>
  <si>
    <t>Purchases of property, equipment, software and intangible assets</t>
  </si>
  <si>
    <t>Capitalized software development costs</t>
  </si>
  <si>
    <t>Purchases of available-for-sale investments</t>
  </si>
  <si>
    <t>Proceeds from sales of available-for-sale investments</t>
  </si>
  <si>
    <t>23,497 </t>
  </si>
  <si>
    <t>52,742 </t>
  </si>
  <si>
    <t>Proceeds from maturities and paydowns of available-for-sale investments</t>
  </si>
  <si>
    <t>15,240 </t>
  </si>
  <si>
    <t>4,799 </t>
  </si>
  <si>
    <t>Changes in loans held for investment, net</t>
  </si>
  <si>
    <t>Proceeds from securitization investments</t>
  </si>
  <si>
    <t>118,825 </t>
  </si>
  <si>
    <t>247,058 </t>
  </si>
  <si>
    <t>322,704 </t>
  </si>
  <si>
    <t>Proceeds from non-securitization investments</t>
  </si>
  <si>
    <t>109,534 </t>
  </si>
  <si>
    <t>974 </t>
  </si>
  <si>
    <t>Purchases of non-securitization investments</t>
  </si>
  <si>
    <t>Acquisition of businesses, net of cash acquired</t>
  </si>
  <si>
    <t>58,540 </t>
  </si>
  <si>
    <t>Related party notes receivable issuances</t>
  </si>
  <si>
    <t>Proceeds from repayment of related party notes receivable</t>
  </si>
  <si>
    <t>16,693 </t>
  </si>
  <si>
    <t>Net cash (used in) provided by investing activities</t>
  </si>
  <si>
    <t>110,193 </t>
  </si>
  <si>
    <t>Income Statement</t>
  </si>
  <si>
    <t>SoFi Technologies Discounted Cash Flow</t>
  </si>
  <si>
    <t>(all values in thousands except per share data)</t>
  </si>
  <si>
    <t xml:space="preserve">   % Growth</t>
  </si>
  <si>
    <t xml:space="preserve">   % tax rate</t>
  </si>
  <si>
    <t>T</t>
  </si>
  <si>
    <t xml:space="preserve">    % of Non Interest Revenue</t>
  </si>
  <si>
    <t xml:space="preserve">    % of Interest Revenue</t>
  </si>
  <si>
    <t xml:space="preserve">   % of Interest Revenue</t>
  </si>
  <si>
    <t>Adj Ebitda</t>
  </si>
  <si>
    <t xml:space="preserve">Depreciation and Amortization </t>
  </si>
  <si>
    <t xml:space="preserve">Stock Based Compensation </t>
  </si>
  <si>
    <t>NWC</t>
  </si>
  <si>
    <t>Current Assets</t>
  </si>
  <si>
    <t>Current Liabilites</t>
  </si>
  <si>
    <t xml:space="preserve"> </t>
  </si>
  <si>
    <t>Net Working Capital</t>
  </si>
  <si>
    <t>CapEx</t>
  </si>
  <si>
    <t>PPE</t>
  </si>
  <si>
    <t>Adj EBITDA</t>
  </si>
  <si>
    <t xml:space="preserve">  - taxes</t>
  </si>
  <si>
    <t xml:space="preserve">  - CAPEX</t>
  </si>
  <si>
    <t xml:space="preserve">  - change NWC</t>
  </si>
  <si>
    <t>Unlevered FCF</t>
  </si>
  <si>
    <t xml:space="preserve">Long Term Growth Rate </t>
  </si>
  <si>
    <t>WACC</t>
  </si>
  <si>
    <t>DCF</t>
  </si>
  <si>
    <t>Enterprise Value</t>
  </si>
  <si>
    <t xml:space="preserve">  - Debt</t>
  </si>
  <si>
    <t xml:space="preserve"> + Cash </t>
  </si>
  <si>
    <t xml:space="preserve">Equity Value </t>
  </si>
  <si>
    <t xml:space="preserve">Shares Outstanding </t>
  </si>
  <si>
    <t xml:space="preserve">Fair Value per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</si>
</sst>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5.85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2"/>
      <color theme="1"/>
      <name val="Times"/>
      <family val="1"/>
    </font>
    <font>
      <sz val="9"/>
      <color rgb="FF0070C0"/>
      <name val="Times New Roman"/>
      <family val="1"/>
    </font>
    <font>
      <i/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color rgb="FF0070C0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6" fontId="10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9" fontId="4" fillId="0" borderId="0" xfId="0" applyNumberFormat="1" applyFont="1"/>
    <xf numFmtId="0" fontId="11" fillId="0" borderId="0" xfId="0" applyFont="1"/>
    <xf numFmtId="9" fontId="11" fillId="0" borderId="0" xfId="0" applyNumberFormat="1" applyFont="1"/>
    <xf numFmtId="6" fontId="4" fillId="0" borderId="0" xfId="0" applyNumberFormat="1" applyFont="1"/>
    <xf numFmtId="3" fontId="3" fillId="0" borderId="0" xfId="0" applyNumberFormat="1" applyFont="1"/>
    <xf numFmtId="0" fontId="10" fillId="0" borderId="0" xfId="0" applyFont="1"/>
    <xf numFmtId="3" fontId="10" fillId="0" borderId="0" xfId="0" applyNumberFormat="1" applyFont="1"/>
    <xf numFmtId="3" fontId="13" fillId="0" borderId="0" xfId="0" applyNumberFormat="1" applyFont="1"/>
    <xf numFmtId="9" fontId="14" fillId="0" borderId="0" xfId="0" applyNumberFormat="1" applyFont="1"/>
    <xf numFmtId="6" fontId="12" fillId="0" borderId="0" xfId="0" applyNumberFormat="1" applyFont="1" applyAlignment="1">
      <alignment horizontal="center"/>
    </xf>
    <xf numFmtId="9" fontId="10" fillId="0" borderId="0" xfId="0" applyNumberFormat="1" applyFont="1"/>
    <xf numFmtId="9" fontId="15" fillId="0" borderId="0" xfId="0" applyNumberFormat="1" applyFont="1"/>
    <xf numFmtId="6" fontId="3" fillId="0" borderId="0" xfId="0" applyNumberFormat="1" applyFont="1"/>
    <xf numFmtId="9" fontId="16" fillId="0" borderId="0" xfId="0" applyNumberFormat="1" applyFont="1"/>
    <xf numFmtId="10" fontId="15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6" fontId="6" fillId="0" borderId="0" xfId="0" applyNumberFormat="1" applyFont="1"/>
    <xf numFmtId="3" fontId="6" fillId="0" borderId="0" xfId="0" applyNumberFormat="1" applyFont="1"/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/>
    <xf numFmtId="8" fontId="1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1A29-5864-134F-B679-E576D7103869}">
  <dimension ref="A3:H40"/>
  <sheetViews>
    <sheetView workbookViewId="0">
      <selection activeCell="B7" sqref="B7"/>
    </sheetView>
  </sheetViews>
  <sheetFormatPr baseColWidth="10" defaultRowHeight="16"/>
  <cols>
    <col min="1" max="1" width="128.83203125" bestFit="1" customWidth="1"/>
  </cols>
  <sheetData>
    <row r="3" spans="1:8">
      <c r="B3" s="1">
        <v>2022</v>
      </c>
      <c r="E3" s="1">
        <v>2021</v>
      </c>
    </row>
    <row r="4" spans="1:8" ht="19">
      <c r="A4" s="3" t="s">
        <v>0</v>
      </c>
      <c r="B4" s="2"/>
      <c r="C4" s="2"/>
      <c r="D4" s="2"/>
    </row>
    <row r="5" spans="1:8" ht="19">
      <c r="A5" s="4" t="s">
        <v>1</v>
      </c>
      <c r="B5" s="5">
        <v>1421907</v>
      </c>
      <c r="D5" s="2"/>
      <c r="E5" s="4" t="s">
        <v>3</v>
      </c>
      <c r="F5" s="4" t="s">
        <v>2</v>
      </c>
      <c r="H5" s="2"/>
    </row>
    <row r="6" spans="1:8" ht="19">
      <c r="A6" s="4" t="s">
        <v>4</v>
      </c>
      <c r="B6" s="5">
        <v>424395</v>
      </c>
      <c r="C6" s="2"/>
      <c r="D6" s="2"/>
      <c r="E6" s="4" t="s">
        <v>5</v>
      </c>
      <c r="F6" s="2"/>
    </row>
    <row r="7" spans="1:8" ht="19">
      <c r="A7" s="4" t="s">
        <v>6</v>
      </c>
      <c r="B7" s="4" t="s">
        <v>7</v>
      </c>
      <c r="C7" s="2"/>
      <c r="D7" s="2"/>
      <c r="E7" s="4" t="s">
        <v>8</v>
      </c>
      <c r="F7" s="2"/>
    </row>
    <row r="8" spans="1:8" ht="19">
      <c r="A8" s="4" t="s">
        <v>9</v>
      </c>
      <c r="B8" s="4" t="s">
        <v>10</v>
      </c>
      <c r="C8" s="2"/>
      <c r="D8" s="2"/>
      <c r="E8" s="4" t="s">
        <v>11</v>
      </c>
      <c r="F8" s="2"/>
    </row>
    <row r="9" spans="1:8" ht="19">
      <c r="A9" s="4" t="s">
        <v>12</v>
      </c>
      <c r="B9" s="4" t="s">
        <v>13</v>
      </c>
      <c r="C9" s="2"/>
      <c r="D9" s="2"/>
      <c r="E9" s="4" t="s">
        <v>14</v>
      </c>
      <c r="F9" s="2"/>
    </row>
    <row r="10" spans="1:8" ht="19">
      <c r="A10" s="4" t="s">
        <v>15</v>
      </c>
      <c r="B10" s="4" t="s">
        <v>16</v>
      </c>
      <c r="C10" s="2"/>
      <c r="D10" s="2"/>
      <c r="E10" s="4" t="s">
        <v>17</v>
      </c>
      <c r="F10" s="2"/>
    </row>
    <row r="11" spans="1:8" ht="19">
      <c r="A11" s="4" t="s">
        <v>18</v>
      </c>
      <c r="B11" s="4" t="s">
        <v>19</v>
      </c>
      <c r="C11" s="2"/>
      <c r="D11" s="2"/>
      <c r="E11" s="4" t="s">
        <v>20</v>
      </c>
      <c r="F11" s="2"/>
    </row>
    <row r="12" spans="1:8" ht="19">
      <c r="A12" s="4" t="s">
        <v>21</v>
      </c>
      <c r="B12" s="5">
        <v>170104</v>
      </c>
      <c r="C12" s="2"/>
      <c r="D12" s="2"/>
      <c r="E12" s="5">
        <v>111873</v>
      </c>
      <c r="F12" s="2"/>
    </row>
    <row r="13" spans="1:8" ht="19">
      <c r="A13" s="4" t="s">
        <v>22</v>
      </c>
      <c r="B13" s="4" t="s">
        <v>23</v>
      </c>
      <c r="C13" s="2"/>
      <c r="D13" s="2"/>
      <c r="E13" s="4" t="s">
        <v>24</v>
      </c>
      <c r="F13" s="2"/>
    </row>
    <row r="14" spans="1:8" ht="19">
      <c r="A14" s="4" t="s">
        <v>25</v>
      </c>
      <c r="B14" s="4" t="s">
        <v>26</v>
      </c>
      <c r="C14" s="2"/>
      <c r="D14" s="2"/>
      <c r="E14" s="4" t="s">
        <v>27</v>
      </c>
      <c r="F14" s="2"/>
    </row>
    <row r="15" spans="1:8" ht="19">
      <c r="A15" s="4" t="s">
        <v>28</v>
      </c>
      <c r="B15" s="4" t="s">
        <v>29</v>
      </c>
      <c r="C15" s="2"/>
      <c r="D15" s="2"/>
      <c r="E15" s="4" t="s">
        <v>30</v>
      </c>
      <c r="F15" s="2"/>
    </row>
    <row r="17" spans="1:8" ht="19">
      <c r="A17" s="4" t="s">
        <v>31</v>
      </c>
      <c r="B17" s="4" t="s">
        <v>32</v>
      </c>
      <c r="C17" s="2"/>
      <c r="D17" s="2"/>
      <c r="E17" s="4" t="s">
        <v>33</v>
      </c>
      <c r="F17" s="2"/>
    </row>
    <row r="18" spans="1:8" ht="19">
      <c r="A18" s="4" t="s">
        <v>34</v>
      </c>
      <c r="B18" s="5">
        <v>19007675</v>
      </c>
      <c r="D18" s="2"/>
      <c r="E18" s="5">
        <v>9176326</v>
      </c>
      <c r="F18" s="4" t="s">
        <v>2</v>
      </c>
      <c r="H18" s="2"/>
    </row>
    <row r="19" spans="1:8" ht="19">
      <c r="A19" s="3" t="s">
        <v>36</v>
      </c>
      <c r="B19" s="2"/>
      <c r="C19" s="2"/>
      <c r="D19" s="2"/>
    </row>
    <row r="20" spans="1:8" ht="19">
      <c r="A20" s="4" t="s">
        <v>37</v>
      </c>
      <c r="B20" s="2"/>
      <c r="C20" s="2"/>
      <c r="D20" s="2"/>
    </row>
    <row r="21" spans="1:8" ht="19">
      <c r="A21" s="4" t="s">
        <v>38</v>
      </c>
      <c r="B21" s="2"/>
      <c r="C21" s="2"/>
      <c r="D21" s="2"/>
    </row>
    <row r="22" spans="1:8" ht="19">
      <c r="A22" s="4" t="s">
        <v>39</v>
      </c>
      <c r="B22" s="4" t="s">
        <v>40</v>
      </c>
      <c r="D22" s="2"/>
      <c r="E22" s="4" t="s">
        <v>19</v>
      </c>
      <c r="F22" s="4" t="s">
        <v>2</v>
      </c>
      <c r="H22" s="2"/>
    </row>
    <row r="23" spans="1:8" ht="19">
      <c r="A23" s="4" t="s">
        <v>41</v>
      </c>
      <c r="B23" s="4" t="s">
        <v>42</v>
      </c>
      <c r="C23" s="2"/>
      <c r="D23" s="2"/>
      <c r="E23" s="4" t="s">
        <v>19</v>
      </c>
      <c r="F23" s="2"/>
    </row>
    <row r="24" spans="1:8" ht="19">
      <c r="A24" s="4" t="s">
        <v>43</v>
      </c>
      <c r="B24" s="4" t="s">
        <v>44</v>
      </c>
      <c r="C24" s="2"/>
      <c r="D24" s="2"/>
      <c r="E24" s="4" t="s">
        <v>19</v>
      </c>
      <c r="F24" s="2"/>
    </row>
    <row r="25" spans="1:8" ht="19">
      <c r="A25" s="4" t="s">
        <v>45</v>
      </c>
      <c r="B25" s="4" t="s">
        <v>46</v>
      </c>
      <c r="C25" s="2"/>
      <c r="D25" s="2"/>
      <c r="E25" s="4" t="s">
        <v>47</v>
      </c>
      <c r="F25" s="2"/>
    </row>
    <row r="26" spans="1:8" ht="19">
      <c r="A26" s="4" t="s">
        <v>48</v>
      </c>
      <c r="B26" s="4" t="s">
        <v>49</v>
      </c>
      <c r="C26" s="2"/>
      <c r="D26" s="2"/>
      <c r="E26" s="4" t="s">
        <v>50</v>
      </c>
      <c r="F26" s="2"/>
    </row>
    <row r="27" spans="1:8" ht="19">
      <c r="A27" s="4" t="s">
        <v>51</v>
      </c>
      <c r="B27" s="5">
        <v>5485882</v>
      </c>
      <c r="C27" s="2"/>
      <c r="D27" s="2"/>
      <c r="E27" s="5">
        <v>3947983</v>
      </c>
      <c r="F27" s="2"/>
    </row>
    <row r="28" spans="1:8" ht="19">
      <c r="A28" s="4" t="s">
        <v>52</v>
      </c>
      <c r="B28" s="4" t="s">
        <v>53</v>
      </c>
      <c r="C28" s="2"/>
      <c r="D28" s="2"/>
      <c r="E28" s="4" t="s">
        <v>54</v>
      </c>
      <c r="F28" s="2"/>
    </row>
    <row r="29" spans="1:8" ht="19">
      <c r="A29" s="4" t="s">
        <v>55</v>
      </c>
      <c r="B29" s="5">
        <v>13479199</v>
      </c>
      <c r="C29" s="2"/>
      <c r="D29" s="2"/>
      <c r="E29" s="5">
        <v>4478623</v>
      </c>
      <c r="F29" s="2"/>
    </row>
    <row r="30" spans="1:8" ht="19">
      <c r="A30" s="4" t="s">
        <v>56</v>
      </c>
      <c r="B30" s="2"/>
      <c r="C30" s="2"/>
      <c r="D30" s="2"/>
    </row>
    <row r="31" spans="1:8" ht="19">
      <c r="A31" s="4" t="s">
        <v>57</v>
      </c>
      <c r="B31" s="2"/>
      <c r="C31" s="2"/>
      <c r="D31" s="2"/>
    </row>
    <row r="32" spans="1:8" ht="19">
      <c r="A32" s="4" t="s">
        <v>58</v>
      </c>
      <c r="B32" s="4" t="s">
        <v>59</v>
      </c>
      <c r="C32" s="2"/>
      <c r="D32" s="2"/>
      <c r="E32" s="4" t="s">
        <v>59</v>
      </c>
      <c r="F32" s="2"/>
    </row>
    <row r="33" spans="1:6" ht="19">
      <c r="A33" s="4" t="s">
        <v>60</v>
      </c>
      <c r="B33" s="2"/>
      <c r="C33" s="2"/>
      <c r="D33" s="2"/>
    </row>
    <row r="34" spans="1:6" ht="19">
      <c r="A34" s="4" t="s">
        <v>61</v>
      </c>
      <c r="B34" s="4" t="s">
        <v>62</v>
      </c>
      <c r="C34" s="2"/>
      <c r="D34" s="2"/>
      <c r="E34" s="4" t="s">
        <v>63</v>
      </c>
      <c r="F34" s="2"/>
    </row>
    <row r="35" spans="1:6" ht="19">
      <c r="A35" s="4" t="s">
        <v>64</v>
      </c>
      <c r="B35" s="4" t="s">
        <v>65</v>
      </c>
      <c r="C35" s="2"/>
      <c r="D35" s="2"/>
      <c r="E35" s="4" t="s">
        <v>66</v>
      </c>
      <c r="F35" s="2"/>
    </row>
    <row r="37" spans="1:6" ht="19">
      <c r="A37" s="4" t="s">
        <v>67</v>
      </c>
      <c r="B37" s="5">
        <v>-8296</v>
      </c>
      <c r="C37" s="2"/>
      <c r="D37" s="2"/>
      <c r="E37" s="5">
        <v>-1471</v>
      </c>
      <c r="F37" s="2"/>
    </row>
    <row r="38" spans="1:6" ht="19">
      <c r="A38" s="4" t="s">
        <v>68</v>
      </c>
      <c r="B38" s="5">
        <v>-1503521</v>
      </c>
      <c r="C38" s="2"/>
      <c r="D38" s="2"/>
      <c r="E38" s="5">
        <v>-1183114</v>
      </c>
      <c r="F38" s="2"/>
    </row>
    <row r="39" spans="1:6" ht="19">
      <c r="A39" s="4" t="s">
        <v>69</v>
      </c>
      <c r="B39" s="4" t="s">
        <v>70</v>
      </c>
      <c r="C39" s="2"/>
      <c r="D39" s="2"/>
      <c r="E39" s="4" t="s">
        <v>71</v>
      </c>
      <c r="F39" s="2"/>
    </row>
    <row r="40" spans="1:6" ht="19">
      <c r="A40" s="4" t="s">
        <v>72</v>
      </c>
      <c r="B40" s="4" t="s">
        <v>35</v>
      </c>
      <c r="D40" s="2"/>
      <c r="E40" s="5">
        <v>9176326</v>
      </c>
      <c r="F40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D87E-1B29-8D4C-904C-D0640F8B5848}">
  <dimension ref="A4:J50"/>
  <sheetViews>
    <sheetView topLeftCell="A25" workbookViewId="0">
      <selection activeCell="B49" sqref="B49"/>
    </sheetView>
  </sheetViews>
  <sheetFormatPr baseColWidth="10" defaultRowHeight="16"/>
  <cols>
    <col min="1" max="1" width="46.33203125" customWidth="1"/>
  </cols>
  <sheetData>
    <row r="4" spans="1:10">
      <c r="A4" s="6" t="s">
        <v>91</v>
      </c>
    </row>
    <row r="5" spans="1:10">
      <c r="A5" s="6" t="s">
        <v>92</v>
      </c>
    </row>
    <row r="6" spans="1:10">
      <c r="A6" s="7" t="s">
        <v>93</v>
      </c>
    </row>
    <row r="8" spans="1:10">
      <c r="A8" s="8"/>
      <c r="B8" s="1" t="s">
        <v>94</v>
      </c>
    </row>
    <row r="9" spans="1:10">
      <c r="A9" s="8"/>
      <c r="B9" s="1">
        <v>2022</v>
      </c>
      <c r="E9" s="1">
        <v>2021</v>
      </c>
      <c r="H9" s="1">
        <v>2020</v>
      </c>
    </row>
    <row r="10" spans="1:10">
      <c r="A10" s="3" t="s">
        <v>73</v>
      </c>
      <c r="B10" s="8"/>
      <c r="D10" s="8"/>
      <c r="F10" s="8"/>
    </row>
    <row r="11" spans="1:10">
      <c r="A11" s="4" t="s">
        <v>74</v>
      </c>
      <c r="B11" s="4" t="s">
        <v>95</v>
      </c>
      <c r="E11" s="4" t="s">
        <v>96</v>
      </c>
      <c r="F11" s="4" t="s">
        <v>2</v>
      </c>
      <c r="H11" s="4" t="s">
        <v>97</v>
      </c>
      <c r="J11" s="4" t="s">
        <v>2</v>
      </c>
    </row>
    <row r="12" spans="1:10">
      <c r="A12" s="4" t="s">
        <v>75</v>
      </c>
      <c r="B12" s="4" t="s">
        <v>98</v>
      </c>
      <c r="E12" s="4" t="s">
        <v>99</v>
      </c>
      <c r="H12" s="4" t="s">
        <v>100</v>
      </c>
    </row>
    <row r="14" spans="1:10">
      <c r="A14" s="4" t="s">
        <v>76</v>
      </c>
      <c r="B14" s="4" t="s">
        <v>101</v>
      </c>
      <c r="E14" s="4" t="s">
        <v>102</v>
      </c>
      <c r="H14" s="4" t="s">
        <v>103</v>
      </c>
    </row>
    <row r="15" spans="1:10">
      <c r="A15" s="4" t="s">
        <v>104</v>
      </c>
      <c r="B15" s="4" t="s">
        <v>105</v>
      </c>
      <c r="E15" s="4" t="s">
        <v>106</v>
      </c>
      <c r="H15" s="4" t="s">
        <v>107</v>
      </c>
    </row>
    <row r="16" spans="1:10">
      <c r="A16" s="3" t="s">
        <v>77</v>
      </c>
    </row>
    <row r="17" spans="1:8">
      <c r="A17" s="4" t="s">
        <v>78</v>
      </c>
      <c r="B17" s="4" t="s">
        <v>108</v>
      </c>
      <c r="E17" s="4" t="s">
        <v>109</v>
      </c>
      <c r="H17" s="4" t="s">
        <v>110</v>
      </c>
    </row>
    <row r="18" spans="1:8">
      <c r="A18" s="4" t="s">
        <v>111</v>
      </c>
      <c r="B18" s="4" t="s">
        <v>112</v>
      </c>
      <c r="E18" s="4" t="s">
        <v>19</v>
      </c>
      <c r="H18" s="4" t="s">
        <v>19</v>
      </c>
    </row>
    <row r="19" spans="1:8">
      <c r="A19" s="4" t="s">
        <v>113</v>
      </c>
      <c r="B19" s="4" t="s">
        <v>114</v>
      </c>
      <c r="E19" s="4" t="s">
        <v>115</v>
      </c>
      <c r="H19" s="4" t="s">
        <v>116</v>
      </c>
    </row>
    <row r="20" spans="1:8">
      <c r="A20" s="4" t="s">
        <v>76</v>
      </c>
      <c r="B20" s="4" t="s">
        <v>117</v>
      </c>
      <c r="E20" s="4" t="s">
        <v>118</v>
      </c>
      <c r="H20" s="4" t="s">
        <v>119</v>
      </c>
    </row>
    <row r="21" spans="1:8">
      <c r="A21" s="4" t="s">
        <v>120</v>
      </c>
      <c r="B21" s="4" t="s">
        <v>121</v>
      </c>
      <c r="E21" s="4" t="s">
        <v>122</v>
      </c>
      <c r="H21" s="4" t="s">
        <v>123</v>
      </c>
    </row>
    <row r="22" spans="1:8">
      <c r="A22" s="4" t="s">
        <v>124</v>
      </c>
      <c r="B22" s="4" t="s">
        <v>125</v>
      </c>
      <c r="E22" s="4" t="s">
        <v>126</v>
      </c>
      <c r="H22" s="4" t="s">
        <v>127</v>
      </c>
    </row>
    <row r="23" spans="1:8">
      <c r="A23" s="3" t="s">
        <v>79</v>
      </c>
    </row>
    <row r="24" spans="1:8">
      <c r="A24" s="4" t="s">
        <v>80</v>
      </c>
      <c r="B24" s="4" t="s">
        <v>128</v>
      </c>
      <c r="E24" s="4" t="s">
        <v>129</v>
      </c>
      <c r="H24" s="4" t="s">
        <v>130</v>
      </c>
    </row>
    <row r="25" spans="1:8">
      <c r="A25" s="4" t="s">
        <v>75</v>
      </c>
      <c r="B25" s="5">
        <v>-40031</v>
      </c>
      <c r="E25" s="5">
        <v>-14862</v>
      </c>
      <c r="H25" s="5">
        <v>-70251</v>
      </c>
    </row>
    <row r="26" spans="1:8">
      <c r="A26" s="4" t="s">
        <v>81</v>
      </c>
      <c r="B26" s="4" t="s">
        <v>131</v>
      </c>
      <c r="E26" s="5">
        <v>-2281</v>
      </c>
      <c r="H26" s="5">
        <v>-19426</v>
      </c>
    </row>
    <row r="27" spans="1:8">
      <c r="A27" s="4" t="s">
        <v>82</v>
      </c>
      <c r="B27" s="4" t="s">
        <v>132</v>
      </c>
      <c r="E27" s="4" t="s">
        <v>133</v>
      </c>
      <c r="H27" s="4" t="s">
        <v>134</v>
      </c>
    </row>
    <row r="28" spans="1:8">
      <c r="A28" s="4" t="s">
        <v>76</v>
      </c>
      <c r="B28" s="4" t="s">
        <v>135</v>
      </c>
      <c r="E28" s="4" t="s">
        <v>136</v>
      </c>
      <c r="H28" s="4" t="s">
        <v>137</v>
      </c>
    </row>
    <row r="29" spans="1:8">
      <c r="A29" s="4" t="s">
        <v>138</v>
      </c>
      <c r="B29" s="4" t="s">
        <v>139</v>
      </c>
      <c r="E29" s="4" t="s">
        <v>140</v>
      </c>
      <c r="H29" s="4" t="s">
        <v>141</v>
      </c>
    </row>
    <row r="30" spans="1:8">
      <c r="A30" s="4" t="s">
        <v>142</v>
      </c>
      <c r="B30" s="4" t="s">
        <v>143</v>
      </c>
      <c r="E30" s="4" t="s">
        <v>144</v>
      </c>
      <c r="H30" s="4" t="s">
        <v>145</v>
      </c>
    </row>
    <row r="31" spans="1:8">
      <c r="A31" s="3" t="s">
        <v>83</v>
      </c>
    </row>
    <row r="32" spans="1:8">
      <c r="A32" s="4" t="s">
        <v>84</v>
      </c>
      <c r="B32" s="4" t="s">
        <v>146</v>
      </c>
      <c r="E32" s="4" t="s">
        <v>147</v>
      </c>
      <c r="H32" s="4" t="s">
        <v>148</v>
      </c>
    </row>
    <row r="33" spans="1:10">
      <c r="A33" s="4" t="s">
        <v>85</v>
      </c>
      <c r="B33" s="4" t="s">
        <v>149</v>
      </c>
      <c r="E33" s="4" t="s">
        <v>150</v>
      </c>
      <c r="H33" s="4" t="s">
        <v>151</v>
      </c>
    </row>
    <row r="34" spans="1:10">
      <c r="A34" s="4" t="s">
        <v>86</v>
      </c>
      <c r="B34" s="4" t="s">
        <v>152</v>
      </c>
      <c r="E34" s="4" t="s">
        <v>153</v>
      </c>
      <c r="H34" s="4" t="s">
        <v>154</v>
      </c>
    </row>
    <row r="35" spans="1:10">
      <c r="A35" s="4" t="s">
        <v>87</v>
      </c>
      <c r="B35" s="4" t="s">
        <v>155</v>
      </c>
      <c r="E35" s="4" t="s">
        <v>156</v>
      </c>
      <c r="H35" s="4" t="s">
        <v>157</v>
      </c>
    </row>
    <row r="36" spans="1:10">
      <c r="A36" s="4" t="s">
        <v>158</v>
      </c>
      <c r="B36" s="4" t="s">
        <v>159</v>
      </c>
      <c r="E36" s="4" t="s">
        <v>160</v>
      </c>
      <c r="H36" s="4" t="s">
        <v>19</v>
      </c>
    </row>
    <row r="37" spans="1:10">
      <c r="A37" s="4" t="s">
        <v>161</v>
      </c>
      <c r="B37" s="4" t="s">
        <v>162</v>
      </c>
      <c r="E37" s="4" t="s">
        <v>163</v>
      </c>
      <c r="H37" s="4" t="s">
        <v>164</v>
      </c>
    </row>
    <row r="38" spans="1:10">
      <c r="A38" s="4" t="s">
        <v>165</v>
      </c>
      <c r="B38" s="5">
        <v>-318721</v>
      </c>
      <c r="E38" s="5">
        <v>-481177</v>
      </c>
      <c r="H38" s="5">
        <v>-328521</v>
      </c>
    </row>
    <row r="39" spans="1:10">
      <c r="A39" s="4" t="s">
        <v>88</v>
      </c>
      <c r="B39" s="5">
        <v>-1686</v>
      </c>
      <c r="E39" s="5">
        <v>-2760</v>
      </c>
      <c r="H39" s="4" t="s">
        <v>166</v>
      </c>
    </row>
    <row r="40" spans="1:10">
      <c r="A40" s="4" t="s">
        <v>167</v>
      </c>
      <c r="B40" s="5">
        <v>-320407</v>
      </c>
      <c r="E40" s="5">
        <v>-483937</v>
      </c>
      <c r="F40" s="4" t="s">
        <v>2</v>
      </c>
      <c r="H40" s="5">
        <v>-224053</v>
      </c>
      <c r="J40" s="4"/>
    </row>
    <row r="41" spans="1:10">
      <c r="A41" s="3" t="s">
        <v>89</v>
      </c>
    </row>
    <row r="42" spans="1:10">
      <c r="A42" s="4" t="s">
        <v>168</v>
      </c>
      <c r="B42" s="5">
        <v>-7260</v>
      </c>
      <c r="E42" s="5">
        <v>-1351</v>
      </c>
      <c r="H42" s="4" t="s">
        <v>19</v>
      </c>
    </row>
    <row r="43" spans="1:10">
      <c r="A43" s="4" t="s">
        <v>169</v>
      </c>
      <c r="B43" s="4" t="s">
        <v>170</v>
      </c>
      <c r="E43" s="4" t="s">
        <v>171</v>
      </c>
      <c r="H43" s="4">
        <v>-145</v>
      </c>
    </row>
    <row r="44" spans="1:10">
      <c r="A44" s="4" t="s">
        <v>172</v>
      </c>
      <c r="B44" s="5">
        <v>-6825</v>
      </c>
      <c r="E44" s="5">
        <v>-1305</v>
      </c>
      <c r="H44" s="4">
        <v>-145</v>
      </c>
    </row>
    <row r="45" spans="1:10">
      <c r="A45" s="4" t="s">
        <v>173</v>
      </c>
      <c r="B45" s="5">
        <v>-327232</v>
      </c>
      <c r="E45" s="5">
        <v>-485242</v>
      </c>
      <c r="F45" s="4" t="s">
        <v>2</v>
      </c>
      <c r="H45" s="5">
        <v>-224198</v>
      </c>
      <c r="J45" s="4"/>
    </row>
    <row r="46" spans="1:10">
      <c r="A46" s="3" t="s">
        <v>90</v>
      </c>
    </row>
    <row r="47" spans="1:10">
      <c r="A47" s="4" t="s">
        <v>174</v>
      </c>
      <c r="B47" s="4">
        <v>-0.4</v>
      </c>
      <c r="E47" s="4">
        <v>-1</v>
      </c>
      <c r="F47" s="4" t="s">
        <v>2</v>
      </c>
      <c r="H47" s="4">
        <v>-4.3</v>
      </c>
      <c r="J47" s="4"/>
    </row>
    <row r="48" spans="1:10">
      <c r="A48" s="4" t="s">
        <v>175</v>
      </c>
      <c r="B48" s="4">
        <v>-0.4</v>
      </c>
      <c r="E48" s="4">
        <v>-1</v>
      </c>
      <c r="F48" s="4" t="s">
        <v>2</v>
      </c>
      <c r="H48" s="4">
        <v>-4.3</v>
      </c>
      <c r="J48" s="4"/>
    </row>
    <row r="49" spans="1:8">
      <c r="A49" s="4" t="s">
        <v>176</v>
      </c>
      <c r="B49" s="4" t="s">
        <v>177</v>
      </c>
      <c r="E49" s="4" t="s">
        <v>178</v>
      </c>
      <c r="H49" s="4" t="s">
        <v>179</v>
      </c>
    </row>
    <row r="50" spans="1:8" ht="19">
      <c r="A50" s="4" t="s">
        <v>180</v>
      </c>
      <c r="B50" s="4" t="s">
        <v>177</v>
      </c>
      <c r="C50" s="2"/>
      <c r="D50" s="2"/>
      <c r="E50" s="4" t="s">
        <v>178</v>
      </c>
      <c r="F50" s="2"/>
      <c r="G50" s="2"/>
      <c r="H50" s="4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9AAC-2D13-4041-AA00-570119E4164B}">
  <dimension ref="A5:R45"/>
  <sheetViews>
    <sheetView topLeftCell="A7" workbookViewId="0">
      <selection activeCell="B14" sqref="B14"/>
    </sheetView>
  </sheetViews>
  <sheetFormatPr baseColWidth="10" defaultRowHeight="16"/>
  <cols>
    <col min="1" max="1" width="49.1640625" bestFit="1" customWidth="1"/>
  </cols>
  <sheetData>
    <row r="5" spans="1:18">
      <c r="A5" s="6" t="s">
        <v>91</v>
      </c>
    </row>
    <row r="6" spans="1:18">
      <c r="A6" s="6" t="s">
        <v>181</v>
      </c>
    </row>
    <row r="7" spans="1:18">
      <c r="A7" s="7" t="s">
        <v>182</v>
      </c>
    </row>
    <row r="8" spans="1:1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" t="s">
        <v>183</v>
      </c>
    </row>
    <row r="10" spans="1:18">
      <c r="A10" s="9"/>
      <c r="B10" s="1">
        <v>2022</v>
      </c>
      <c r="C10" s="9"/>
      <c r="D10" s="1">
        <v>2021</v>
      </c>
      <c r="E10" s="9"/>
      <c r="F10" s="1">
        <v>2020</v>
      </c>
    </row>
    <row r="11" spans="1:18">
      <c r="A11" s="3" t="s">
        <v>184</v>
      </c>
      <c r="B11" s="9"/>
      <c r="C11" s="9"/>
      <c r="D11" s="9"/>
      <c r="E11" s="9"/>
      <c r="F11" s="9"/>
    </row>
    <row r="12" spans="1:18">
      <c r="A12" s="4" t="s">
        <v>167</v>
      </c>
      <c r="B12" s="4" t="s">
        <v>2</v>
      </c>
      <c r="C12" s="5">
        <v>-320407</v>
      </c>
      <c r="D12" s="9"/>
      <c r="E12" s="9"/>
      <c r="F12" s="4" t="s">
        <v>2</v>
      </c>
      <c r="G12" s="5">
        <v>-483937</v>
      </c>
      <c r="H12" s="9"/>
      <c r="I12" s="9"/>
      <c r="J12" s="4" t="s">
        <v>2</v>
      </c>
      <c r="K12" s="5">
        <v>-224053</v>
      </c>
      <c r="L12" s="9"/>
    </row>
    <row r="13" spans="1:18">
      <c r="A13" s="4" t="s">
        <v>185</v>
      </c>
      <c r="B13" s="9"/>
      <c r="C13" s="9"/>
      <c r="D13" s="9"/>
      <c r="E13" s="9"/>
      <c r="F13" s="9"/>
    </row>
    <row r="14" spans="1:18">
      <c r="A14" s="4" t="s">
        <v>186</v>
      </c>
      <c r="B14" s="4" t="s">
        <v>187</v>
      </c>
      <c r="C14" s="9"/>
      <c r="D14" s="9"/>
      <c r="E14" s="4" t="s">
        <v>188</v>
      </c>
      <c r="F14" s="9"/>
      <c r="G14" s="9"/>
      <c r="H14" s="4" t="s">
        <v>189</v>
      </c>
      <c r="I14" s="9"/>
    </row>
    <row r="15" spans="1:18">
      <c r="A15" s="4" t="s">
        <v>190</v>
      </c>
      <c r="B15" s="4" t="s">
        <v>191</v>
      </c>
      <c r="C15" s="9"/>
      <c r="D15" s="9"/>
      <c r="E15" s="4" t="s">
        <v>192</v>
      </c>
      <c r="F15" s="9"/>
      <c r="G15" s="9"/>
      <c r="H15" s="4" t="s">
        <v>193</v>
      </c>
      <c r="I15" s="9"/>
    </row>
    <row r="16" spans="1:18">
      <c r="A16" s="4" t="s">
        <v>194</v>
      </c>
      <c r="B16" s="4" t="s">
        <v>195</v>
      </c>
      <c r="C16" s="9"/>
      <c r="D16" s="9"/>
      <c r="E16" s="4" t="s">
        <v>195</v>
      </c>
      <c r="F16" s="9"/>
      <c r="G16" s="9"/>
      <c r="H16" s="4" t="s">
        <v>196</v>
      </c>
      <c r="I16" s="9"/>
    </row>
    <row r="17" spans="1:12">
      <c r="A17" s="4" t="s">
        <v>158</v>
      </c>
      <c r="B17" s="4" t="s">
        <v>159</v>
      </c>
      <c r="C17" s="9"/>
      <c r="D17" s="9"/>
      <c r="E17" s="4" t="s">
        <v>160</v>
      </c>
      <c r="F17" s="9"/>
      <c r="G17" s="9"/>
      <c r="H17" s="4" t="s">
        <v>19</v>
      </c>
      <c r="I17" s="9"/>
    </row>
    <row r="18" spans="1:12">
      <c r="A18" s="4" t="s">
        <v>197</v>
      </c>
      <c r="B18" s="5">
        <v>-3498</v>
      </c>
      <c r="C18" s="9"/>
      <c r="D18" s="9"/>
      <c r="E18" s="4" t="s">
        <v>198</v>
      </c>
      <c r="F18" s="9"/>
      <c r="G18" s="9"/>
      <c r="H18" s="5">
        <v>-104504</v>
      </c>
      <c r="I18" s="9"/>
    </row>
    <row r="19" spans="1:12">
      <c r="A19" s="4" t="s">
        <v>199</v>
      </c>
      <c r="B19" s="4" t="s">
        <v>200</v>
      </c>
      <c r="C19" s="9"/>
      <c r="D19" s="9"/>
      <c r="E19" s="4" t="s">
        <v>201</v>
      </c>
      <c r="F19" s="9"/>
      <c r="G19" s="9"/>
      <c r="H19" s="4" t="s">
        <v>202</v>
      </c>
      <c r="I19" s="9"/>
    </row>
    <row r="20" spans="1:12">
      <c r="A20" s="4" t="s">
        <v>203</v>
      </c>
      <c r="B20" s="4" t="s">
        <v>204</v>
      </c>
      <c r="C20" s="9"/>
      <c r="D20" s="9"/>
      <c r="E20" s="5">
        <v>-6538</v>
      </c>
      <c r="F20" s="9"/>
      <c r="G20" s="9"/>
      <c r="H20" s="5">
        <v>-13919</v>
      </c>
      <c r="I20" s="9"/>
    </row>
    <row r="21" spans="1:12">
      <c r="A21" s="4" t="s">
        <v>205</v>
      </c>
      <c r="B21" s="4" t="s">
        <v>19</v>
      </c>
      <c r="C21" s="9"/>
      <c r="D21" s="9"/>
      <c r="E21" s="4" t="s">
        <v>206</v>
      </c>
      <c r="F21" s="9"/>
      <c r="G21" s="9"/>
      <c r="H21" s="4" t="s">
        <v>207</v>
      </c>
      <c r="I21" s="9"/>
    </row>
    <row r="22" spans="1:12">
      <c r="A22" s="4" t="s">
        <v>208</v>
      </c>
      <c r="B22" s="4" t="s">
        <v>19</v>
      </c>
      <c r="C22" s="9"/>
      <c r="D22" s="9"/>
      <c r="E22" s="4" t="s">
        <v>209</v>
      </c>
      <c r="F22" s="9"/>
      <c r="G22" s="9"/>
      <c r="H22" s="5">
        <v>-4314</v>
      </c>
      <c r="I22" s="9"/>
    </row>
    <row r="23" spans="1:12">
      <c r="A23" s="4" t="s">
        <v>210</v>
      </c>
      <c r="B23" s="4" t="s">
        <v>19</v>
      </c>
      <c r="C23" s="9"/>
      <c r="D23" s="9"/>
      <c r="E23" s="4" t="s">
        <v>19</v>
      </c>
      <c r="F23" s="9"/>
      <c r="G23" s="9"/>
      <c r="H23" s="4" t="s">
        <v>211</v>
      </c>
      <c r="I23" s="9"/>
    </row>
    <row r="24" spans="1:12">
      <c r="A24" s="4" t="s">
        <v>76</v>
      </c>
      <c r="B24" s="4" t="s">
        <v>212</v>
      </c>
      <c r="C24" s="9"/>
      <c r="D24" s="9"/>
      <c r="E24" s="5">
        <v>-12467</v>
      </c>
      <c r="F24" s="9"/>
      <c r="G24" s="9"/>
      <c r="H24" s="4" t="s">
        <v>213</v>
      </c>
      <c r="I24" s="9"/>
    </row>
    <row r="25" spans="1:12">
      <c r="A25" s="4" t="s">
        <v>214</v>
      </c>
      <c r="B25" s="9"/>
      <c r="C25" s="9"/>
      <c r="D25" s="9"/>
      <c r="E25" s="9"/>
      <c r="F25" s="9"/>
    </row>
    <row r="26" spans="1:12">
      <c r="A26" s="4" t="s">
        <v>215</v>
      </c>
      <c r="B26" s="5">
        <v>-7463474</v>
      </c>
      <c r="C26" s="9"/>
      <c r="D26" s="9"/>
      <c r="E26" s="5">
        <v>-1308329</v>
      </c>
      <c r="F26" s="9"/>
      <c r="G26" s="9"/>
      <c r="H26" s="5">
        <v>-515751</v>
      </c>
      <c r="I26" s="9"/>
    </row>
    <row r="27" spans="1:12">
      <c r="A27" s="4" t="s">
        <v>216</v>
      </c>
      <c r="B27" s="4" t="s">
        <v>217</v>
      </c>
      <c r="C27" s="9"/>
      <c r="D27" s="9"/>
      <c r="E27" s="5">
        <v>-18662</v>
      </c>
      <c r="F27" s="9"/>
      <c r="G27" s="9"/>
      <c r="H27" s="4" t="s">
        <v>218</v>
      </c>
      <c r="I27" s="9"/>
    </row>
    <row r="28" spans="1:12">
      <c r="A28" s="4" t="s">
        <v>219</v>
      </c>
      <c r="B28" s="4" t="s">
        <v>19</v>
      </c>
      <c r="C28" s="9"/>
      <c r="D28" s="9"/>
      <c r="E28" s="4" t="s">
        <v>220</v>
      </c>
      <c r="F28" s="9"/>
      <c r="G28" s="9"/>
      <c r="H28" s="4" t="s">
        <v>221</v>
      </c>
      <c r="I28" s="9"/>
    </row>
    <row r="29" spans="1:12">
      <c r="A29" s="4" t="s">
        <v>222</v>
      </c>
      <c r="B29" s="5">
        <v>-56861</v>
      </c>
      <c r="C29" s="9"/>
      <c r="D29" s="9"/>
      <c r="E29" s="5">
        <v>-10700</v>
      </c>
      <c r="F29" s="9"/>
      <c r="G29" s="9"/>
      <c r="H29" s="5">
        <v>-29883</v>
      </c>
      <c r="I29" s="9"/>
    </row>
    <row r="30" spans="1:12">
      <c r="A30" s="4" t="s">
        <v>45</v>
      </c>
      <c r="B30" s="4" t="s">
        <v>223</v>
      </c>
      <c r="C30" s="9"/>
      <c r="D30" s="9"/>
      <c r="E30" s="5">
        <v>-9022</v>
      </c>
      <c r="F30" s="9"/>
      <c r="G30" s="9"/>
      <c r="H30" s="4" t="s">
        <v>224</v>
      </c>
      <c r="I30" s="9"/>
    </row>
    <row r="31" spans="1:12">
      <c r="A31" s="4" t="s">
        <v>225</v>
      </c>
      <c r="B31" s="4" t="s">
        <v>2</v>
      </c>
      <c r="C31" s="5">
        <v>-7255858</v>
      </c>
      <c r="D31" s="9"/>
      <c r="E31" s="9"/>
      <c r="F31" s="4" t="s">
        <v>2</v>
      </c>
      <c r="G31" s="5">
        <v>-1350217</v>
      </c>
      <c r="H31" s="9"/>
      <c r="I31" s="9"/>
      <c r="J31" s="4" t="s">
        <v>2</v>
      </c>
      <c r="K31" s="5">
        <v>-479336</v>
      </c>
      <c r="L31" s="9"/>
    </row>
    <row r="32" spans="1:12">
      <c r="A32" s="3" t="s">
        <v>226</v>
      </c>
      <c r="B32" s="9"/>
      <c r="C32" s="9"/>
      <c r="D32" s="9"/>
      <c r="E32" s="9"/>
      <c r="F32" s="9"/>
    </row>
    <row r="33" spans="1:12">
      <c r="A33" s="4" t="s">
        <v>227</v>
      </c>
      <c r="B33" s="4" t="s">
        <v>2</v>
      </c>
      <c r="C33" s="5">
        <v>-93201</v>
      </c>
      <c r="D33" s="9"/>
      <c r="E33" s="9"/>
      <c r="F33" s="4" t="s">
        <v>2</v>
      </c>
      <c r="G33" s="5">
        <v>-52261</v>
      </c>
      <c r="H33" s="9"/>
      <c r="I33" s="9"/>
      <c r="J33" s="4" t="s">
        <v>2</v>
      </c>
      <c r="K33" s="5">
        <v>-24549</v>
      </c>
      <c r="L33" s="9"/>
    </row>
    <row r="34" spans="1:12">
      <c r="A34" s="4" t="s">
        <v>228</v>
      </c>
      <c r="B34" s="5">
        <v>-10532</v>
      </c>
      <c r="C34" s="9"/>
      <c r="D34" s="9"/>
      <c r="E34" s="4" t="s">
        <v>19</v>
      </c>
      <c r="F34" s="9"/>
      <c r="G34" s="9"/>
      <c r="H34" s="4" t="s">
        <v>19</v>
      </c>
      <c r="I34" s="9"/>
    </row>
    <row r="35" spans="1:12">
      <c r="A35" s="4" t="s">
        <v>229</v>
      </c>
      <c r="B35" s="5">
        <v>-44974</v>
      </c>
      <c r="C35" s="9"/>
      <c r="D35" s="9"/>
      <c r="E35" s="5">
        <v>-246372</v>
      </c>
      <c r="F35" s="9"/>
      <c r="G35" s="9"/>
      <c r="H35" s="4" t="s">
        <v>19</v>
      </c>
      <c r="I35" s="9"/>
    </row>
    <row r="36" spans="1:12">
      <c r="A36" s="4" t="s">
        <v>230</v>
      </c>
      <c r="B36" s="4" t="s">
        <v>231</v>
      </c>
      <c r="C36" s="9"/>
      <c r="D36" s="9"/>
      <c r="E36" s="4" t="s">
        <v>232</v>
      </c>
      <c r="F36" s="9"/>
      <c r="G36" s="9"/>
      <c r="H36" s="4" t="s">
        <v>19</v>
      </c>
      <c r="I36" s="9"/>
    </row>
    <row r="37" spans="1:12">
      <c r="A37" s="4" t="s">
        <v>233</v>
      </c>
      <c r="B37" s="4" t="s">
        <v>234</v>
      </c>
      <c r="C37" s="9"/>
      <c r="D37" s="9"/>
      <c r="E37" s="4" t="s">
        <v>235</v>
      </c>
      <c r="F37" s="9"/>
      <c r="G37" s="9"/>
      <c r="H37" s="4" t="s">
        <v>19</v>
      </c>
      <c r="I37" s="9"/>
    </row>
    <row r="38" spans="1:12">
      <c r="A38" s="4" t="s">
        <v>236</v>
      </c>
      <c r="B38" s="5">
        <v>-173728</v>
      </c>
      <c r="C38" s="9"/>
      <c r="D38" s="9"/>
      <c r="E38" s="4" t="s">
        <v>19</v>
      </c>
      <c r="F38" s="9"/>
      <c r="G38" s="9"/>
      <c r="H38" s="4" t="s">
        <v>19</v>
      </c>
      <c r="I38" s="9"/>
    </row>
    <row r="39" spans="1:12">
      <c r="A39" s="4" t="s">
        <v>237</v>
      </c>
      <c r="B39" s="4" t="s">
        <v>238</v>
      </c>
      <c r="C39" s="9"/>
      <c r="D39" s="9"/>
      <c r="E39" s="4" t="s">
        <v>239</v>
      </c>
      <c r="F39" s="9"/>
      <c r="G39" s="9"/>
      <c r="H39" s="4" t="s">
        <v>240</v>
      </c>
      <c r="I39" s="9"/>
    </row>
    <row r="40" spans="1:12">
      <c r="A40" s="4" t="s">
        <v>241</v>
      </c>
      <c r="B40" s="4" t="s">
        <v>19</v>
      </c>
      <c r="C40" s="9"/>
      <c r="D40" s="9"/>
      <c r="E40" s="4" t="s">
        <v>242</v>
      </c>
      <c r="F40" s="9"/>
      <c r="G40" s="9"/>
      <c r="H40" s="4" t="s">
        <v>243</v>
      </c>
      <c r="I40" s="9"/>
    </row>
    <row r="41" spans="1:12">
      <c r="A41" s="4" t="s">
        <v>244</v>
      </c>
      <c r="B41" s="4" t="s">
        <v>19</v>
      </c>
      <c r="C41" s="9"/>
      <c r="D41" s="9"/>
      <c r="E41" s="5">
        <v>-22000</v>
      </c>
      <c r="F41" s="9"/>
      <c r="G41" s="9"/>
      <c r="H41" s="4">
        <v>-145</v>
      </c>
      <c r="I41" s="9"/>
    </row>
    <row r="42" spans="1:12">
      <c r="A42" s="4" t="s">
        <v>245</v>
      </c>
      <c r="B42" s="4" t="s">
        <v>246</v>
      </c>
      <c r="C42" s="9"/>
      <c r="D42" s="9"/>
      <c r="E42" s="4" t="s">
        <v>19</v>
      </c>
      <c r="F42" s="9"/>
      <c r="G42" s="9"/>
      <c r="H42" s="5">
        <v>-32392</v>
      </c>
      <c r="I42" s="9"/>
    </row>
    <row r="43" spans="1:12">
      <c r="A43" s="4" t="s">
        <v>247</v>
      </c>
      <c r="B43" s="4" t="s">
        <v>19</v>
      </c>
      <c r="C43" s="9"/>
      <c r="D43" s="9"/>
      <c r="E43" s="4" t="s">
        <v>19</v>
      </c>
      <c r="F43" s="9"/>
      <c r="G43" s="9"/>
      <c r="H43" s="5">
        <v>-7643</v>
      </c>
      <c r="I43" s="9"/>
    </row>
    <row r="44" spans="1:12">
      <c r="A44" s="4" t="s">
        <v>248</v>
      </c>
      <c r="B44" s="4" t="s">
        <v>19</v>
      </c>
      <c r="C44" s="9"/>
      <c r="D44" s="9"/>
      <c r="E44" s="4" t="s">
        <v>249</v>
      </c>
      <c r="F44" s="9"/>
      <c r="G44" s="9"/>
      <c r="H44" s="4" t="s">
        <v>19</v>
      </c>
      <c r="I44" s="9"/>
    </row>
    <row r="45" spans="1:12">
      <c r="A45" s="4" t="s">
        <v>250</v>
      </c>
      <c r="B45" s="4" t="s">
        <v>2</v>
      </c>
      <c r="C45" s="5">
        <v>-106333</v>
      </c>
      <c r="D45" s="9"/>
      <c r="E45" s="9"/>
      <c r="F45" s="4" t="s">
        <v>2</v>
      </c>
      <c r="G45" s="4" t="s">
        <v>251</v>
      </c>
      <c r="H45" s="9"/>
      <c r="I45" s="9"/>
      <c r="J45" s="4" t="s">
        <v>2</v>
      </c>
      <c r="K45" s="5">
        <v>258949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E7C0-818D-4845-BA50-A32F9B36D1E4}">
  <dimension ref="A1:J128"/>
  <sheetViews>
    <sheetView tabSelected="1" topLeftCell="A100" zoomScale="120" zoomScaleNormal="120" workbookViewId="0">
      <selection activeCell="E125" sqref="E125"/>
    </sheetView>
  </sheetViews>
  <sheetFormatPr baseColWidth="10" defaultRowHeight="12"/>
  <cols>
    <col min="1" max="1" width="33.1640625" style="8" customWidth="1"/>
    <col min="2" max="2" width="12.83203125" style="8" bestFit="1" customWidth="1"/>
    <col min="3" max="9" width="10.83203125" style="8"/>
    <col min="10" max="10" width="10.33203125" style="8" bestFit="1" customWidth="1"/>
    <col min="11" max="11" width="1.5" style="8" customWidth="1"/>
    <col min="12" max="16384" width="10.83203125" style="8"/>
  </cols>
  <sheetData>
    <row r="1" spans="1:10">
      <c r="A1" s="8" t="s">
        <v>253</v>
      </c>
    </row>
    <row r="2" spans="1:10">
      <c r="A2" s="29" t="s">
        <v>254</v>
      </c>
    </row>
    <row r="5" spans="1:10">
      <c r="A5" s="8" t="s">
        <v>252</v>
      </c>
    </row>
    <row r="7" spans="1:10">
      <c r="C7" s="3" t="s">
        <v>94</v>
      </c>
    </row>
    <row r="8" spans="1:10">
      <c r="B8" s="30">
        <v>2020</v>
      </c>
      <c r="C8" s="30">
        <v>2021</v>
      </c>
      <c r="D8" s="30">
        <v>2022</v>
      </c>
      <c r="E8" s="30">
        <v>2023</v>
      </c>
      <c r="F8" s="30">
        <v>2024</v>
      </c>
      <c r="G8" s="30">
        <v>2025</v>
      </c>
      <c r="H8" s="30">
        <v>2026</v>
      </c>
      <c r="I8" s="30">
        <v>2027</v>
      </c>
      <c r="J8" s="30" t="s">
        <v>257</v>
      </c>
    </row>
    <row r="9" spans="1:10">
      <c r="A9" s="3" t="s">
        <v>73</v>
      </c>
      <c r="B9" s="10"/>
      <c r="C9" s="10"/>
      <c r="D9" s="10"/>
    </row>
    <row r="10" spans="1:10">
      <c r="A10" s="4" t="s">
        <v>74</v>
      </c>
      <c r="B10" s="12">
        <v>330353</v>
      </c>
      <c r="C10" s="12">
        <v>337862</v>
      </c>
      <c r="D10" s="12">
        <v>749071</v>
      </c>
      <c r="E10" s="23">
        <f>D10*(1+E11)</f>
        <v>1123606.5</v>
      </c>
      <c r="F10" s="23">
        <f t="shared" ref="F10:I10" si="0">E10*(1+F11)</f>
        <v>1573049.0999999999</v>
      </c>
      <c r="G10" s="23">
        <f t="shared" si="0"/>
        <v>2044963.8299999998</v>
      </c>
      <c r="H10" s="23">
        <f t="shared" si="0"/>
        <v>3067445.7449999996</v>
      </c>
      <c r="I10" s="23">
        <f t="shared" si="0"/>
        <v>3680934.8939999994</v>
      </c>
    </row>
    <row r="11" spans="1:10">
      <c r="A11" s="15" t="s">
        <v>255</v>
      </c>
      <c r="B11" s="29"/>
      <c r="C11" s="16">
        <f>C10/B10-1</f>
        <v>2.2730230995329226E-2</v>
      </c>
      <c r="D11" s="16">
        <f>D10/C10-1</f>
        <v>1.2170915936092253</v>
      </c>
      <c r="E11" s="22">
        <v>0.5</v>
      </c>
      <c r="F11" s="22">
        <v>0.4</v>
      </c>
      <c r="G11" s="22">
        <v>0.3</v>
      </c>
      <c r="H11" s="22">
        <v>0.5</v>
      </c>
      <c r="I11" s="22">
        <v>0.2</v>
      </c>
    </row>
    <row r="12" spans="1:10">
      <c r="A12" s="4" t="s">
        <v>75</v>
      </c>
      <c r="B12" s="12">
        <v>24031</v>
      </c>
      <c r="C12" s="12">
        <v>14109</v>
      </c>
      <c r="D12" s="12">
        <v>10433</v>
      </c>
      <c r="E12" s="23">
        <f>D12*(1+E13)</f>
        <v>10433</v>
      </c>
      <c r="F12" s="23">
        <f t="shared" ref="F12" si="1">E12*(1+F13)</f>
        <v>10433</v>
      </c>
      <c r="G12" s="23">
        <f t="shared" ref="G12" si="2">F12*(1+G13)</f>
        <v>10433</v>
      </c>
      <c r="H12" s="23">
        <f t="shared" ref="H12" si="3">G12*(1+H13)</f>
        <v>10433</v>
      </c>
      <c r="I12" s="23">
        <f t="shared" ref="I12" si="4">H12*(1+I13)</f>
        <v>10433</v>
      </c>
    </row>
    <row r="13" spans="1:10">
      <c r="A13" s="15" t="s">
        <v>255</v>
      </c>
      <c r="B13" s="29"/>
      <c r="C13" s="16">
        <f>C12/B12-1</f>
        <v>-0.41288335899463191</v>
      </c>
      <c r="D13" s="16">
        <f>D12/C12-1</f>
        <v>-0.26054291586930323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</row>
    <row r="14" spans="1:10">
      <c r="A14" s="4" t="s">
        <v>76</v>
      </c>
      <c r="B14" s="12">
        <v>9153</v>
      </c>
      <c r="C14" s="12">
        <v>3049</v>
      </c>
      <c r="D14" s="12">
        <v>13867</v>
      </c>
      <c r="E14" s="23">
        <f>D14*(1+E15)</f>
        <v>15253.7</v>
      </c>
      <c r="F14" s="23">
        <f t="shared" ref="F14" si="5">E14*(1+F15)</f>
        <v>16779.070000000003</v>
      </c>
      <c r="G14" s="23">
        <f t="shared" ref="G14" si="6">F14*(1+G15)</f>
        <v>18456.977000000006</v>
      </c>
      <c r="H14" s="23">
        <f t="shared" ref="H14" si="7">G14*(1+H15)</f>
        <v>20302.674700000007</v>
      </c>
      <c r="I14" s="23">
        <f t="shared" ref="I14" si="8">H14*(1+I15)</f>
        <v>22332.942170000009</v>
      </c>
    </row>
    <row r="15" spans="1:10">
      <c r="A15" s="15" t="s">
        <v>255</v>
      </c>
      <c r="B15" s="29"/>
      <c r="C15" s="16">
        <f>C14/B14-1</f>
        <v>-0.66688517425980554</v>
      </c>
      <c r="D15" s="16">
        <f>D14/C14-1</f>
        <v>3.5480485405050839</v>
      </c>
      <c r="E15" s="22">
        <v>0.1</v>
      </c>
      <c r="F15" s="22">
        <v>0.1</v>
      </c>
      <c r="G15" s="22">
        <v>0.1</v>
      </c>
      <c r="H15" s="22">
        <v>0.1</v>
      </c>
      <c r="I15" s="22">
        <v>0.1</v>
      </c>
    </row>
    <row r="16" spans="1:10">
      <c r="A16" s="4"/>
      <c r="B16" s="11"/>
      <c r="C16" s="11"/>
      <c r="D16" s="11"/>
    </row>
    <row r="17" spans="1:9">
      <c r="A17" s="3" t="s">
        <v>104</v>
      </c>
      <c r="B17" s="13">
        <f t="shared" ref="B17" si="9">B10+B12+B14</f>
        <v>363537</v>
      </c>
      <c r="C17" s="13">
        <f>C10+C12+C14</f>
        <v>355020</v>
      </c>
      <c r="D17" s="13">
        <f>D10+D12+D14</f>
        <v>773371</v>
      </c>
      <c r="E17" s="13">
        <f t="shared" ref="E17:I17" si="10">E10+E12+E14</f>
        <v>1149293.2</v>
      </c>
      <c r="F17" s="13">
        <f t="shared" si="10"/>
        <v>1600261.17</v>
      </c>
      <c r="G17" s="13">
        <f t="shared" si="10"/>
        <v>2073853.8069999998</v>
      </c>
      <c r="H17" s="13">
        <f t="shared" si="10"/>
        <v>3098181.4196999995</v>
      </c>
      <c r="I17" s="13">
        <f t="shared" si="10"/>
        <v>3713700.8361699996</v>
      </c>
    </row>
    <row r="18" spans="1:9" s="29" customFormat="1">
      <c r="A18" s="15" t="s">
        <v>255</v>
      </c>
      <c r="C18" s="16">
        <f>C17/B17-1</f>
        <v>-2.3428151742463599E-2</v>
      </c>
      <c r="D18" s="16">
        <f>D17/C17-1</f>
        <v>1.1783871331192608</v>
      </c>
      <c r="E18" s="16">
        <f t="shared" ref="E18:I18" si="11">E17/D17-1</f>
        <v>0.48608261752768067</v>
      </c>
      <c r="F18" s="16">
        <f t="shared" si="11"/>
        <v>0.39238722547040217</v>
      </c>
      <c r="G18" s="16">
        <f t="shared" si="11"/>
        <v>0.29594709031151445</v>
      </c>
      <c r="H18" s="16">
        <f t="shared" si="11"/>
        <v>0.49392469673731432</v>
      </c>
      <c r="I18" s="16">
        <f t="shared" si="11"/>
        <v>0.19867119870908057</v>
      </c>
    </row>
    <row r="19" spans="1:9">
      <c r="A19" s="4"/>
      <c r="B19" s="4"/>
      <c r="C19" s="4"/>
      <c r="D19" s="4"/>
    </row>
    <row r="20" spans="1:9">
      <c r="A20" s="4"/>
      <c r="B20" s="4"/>
      <c r="C20" s="4"/>
      <c r="D20" s="4"/>
    </row>
    <row r="21" spans="1:9">
      <c r="A21" s="3" t="s">
        <v>77</v>
      </c>
    </row>
    <row r="22" spans="1:9">
      <c r="A22" s="4" t="s">
        <v>78</v>
      </c>
      <c r="B22" s="20">
        <v>155150</v>
      </c>
      <c r="C22" s="20">
        <v>90485</v>
      </c>
      <c r="D22" s="20">
        <v>110127</v>
      </c>
      <c r="E22" s="31">
        <f>E23*E$17</f>
        <v>114929.32</v>
      </c>
      <c r="F22" s="31">
        <f t="shared" ref="F22:I22" si="12">F23*F$17</f>
        <v>160026.117</v>
      </c>
      <c r="G22" s="31">
        <f t="shared" si="12"/>
        <v>207385.38069999998</v>
      </c>
      <c r="H22" s="31">
        <f t="shared" si="12"/>
        <v>309818.14196999994</v>
      </c>
      <c r="I22" s="31">
        <f t="shared" si="12"/>
        <v>371370.08361699997</v>
      </c>
    </row>
    <row r="23" spans="1:9" s="29" customFormat="1">
      <c r="A23" s="15" t="s">
        <v>259</v>
      </c>
      <c r="B23" s="25">
        <f>B22/B$17</f>
        <v>0.42677911739382784</v>
      </c>
      <c r="C23" s="25">
        <f t="shared" ref="C23" si="13">C22/C$17</f>
        <v>0.25487296490338573</v>
      </c>
      <c r="D23" s="25">
        <f>D22/D$17</f>
        <v>0.14239866765110148</v>
      </c>
      <c r="E23" s="22">
        <v>0.1</v>
      </c>
      <c r="F23" s="22">
        <v>0.1</v>
      </c>
      <c r="G23" s="22">
        <v>0.1</v>
      </c>
      <c r="H23" s="22">
        <v>0.1</v>
      </c>
      <c r="I23" s="22">
        <v>0.1</v>
      </c>
    </row>
    <row r="24" spans="1:9">
      <c r="A24" s="4" t="s">
        <v>111</v>
      </c>
      <c r="B24" s="19">
        <v>0</v>
      </c>
      <c r="C24" s="19">
        <v>0</v>
      </c>
      <c r="D24" s="20">
        <v>59793</v>
      </c>
      <c r="E24" s="31">
        <f>E25*E$17</f>
        <v>91943.455999999991</v>
      </c>
      <c r="F24" s="31">
        <f t="shared" ref="F24" si="14">F25*F$17</f>
        <v>128020.8936</v>
      </c>
      <c r="G24" s="31">
        <f t="shared" ref="G24" si="15">G25*G$17</f>
        <v>165908.30455999999</v>
      </c>
      <c r="H24" s="31">
        <f t="shared" ref="H24" si="16">H25*H$17</f>
        <v>247854.51357599997</v>
      </c>
      <c r="I24" s="31">
        <f t="shared" ref="I24" si="17">I25*I$17</f>
        <v>297096.06689359999</v>
      </c>
    </row>
    <row r="25" spans="1:9">
      <c r="A25" s="15" t="s">
        <v>260</v>
      </c>
      <c r="B25" s="25">
        <f>B24/B$17</f>
        <v>0</v>
      </c>
      <c r="C25" s="25">
        <f t="shared" ref="C25" si="18">C24/C$17</f>
        <v>0</v>
      </c>
      <c r="D25" s="25">
        <f>D24/D$17</f>
        <v>7.7314768720316646E-2</v>
      </c>
      <c r="E25" s="22">
        <v>0.08</v>
      </c>
      <c r="F25" s="22">
        <v>0.08</v>
      </c>
      <c r="G25" s="22">
        <v>0.08</v>
      </c>
      <c r="H25" s="22">
        <v>0.08</v>
      </c>
      <c r="I25" s="22">
        <v>0.08</v>
      </c>
    </row>
    <row r="26" spans="1:9">
      <c r="A26" s="4" t="s">
        <v>113</v>
      </c>
      <c r="B26" s="20">
        <v>27974</v>
      </c>
      <c r="C26" s="20">
        <v>10345</v>
      </c>
      <c r="D26" s="20">
        <v>18438</v>
      </c>
      <c r="E26" s="31">
        <f>E27*E$17</f>
        <v>34478.795999999995</v>
      </c>
      <c r="F26" s="31">
        <f t="shared" ref="F26" si="19">F27*F$17</f>
        <v>48007.835099999997</v>
      </c>
      <c r="G26" s="31">
        <f t="shared" ref="G26" si="20">G27*G$17</f>
        <v>62215.614209999992</v>
      </c>
      <c r="H26" s="31">
        <f t="shared" ref="H26" si="21">H27*H$17</f>
        <v>92945.442590999985</v>
      </c>
      <c r="I26" s="31">
        <f t="shared" ref="I26" si="22">I27*I$17</f>
        <v>111411.02508509999</v>
      </c>
    </row>
    <row r="27" spans="1:9">
      <c r="A27" s="15" t="s">
        <v>259</v>
      </c>
      <c r="B27" s="25">
        <f>B26/B$17</f>
        <v>7.6949526458104683E-2</v>
      </c>
      <c r="C27" s="25">
        <f t="shared" ref="C27" si="23">C26/C$17</f>
        <v>2.9139203425159146E-2</v>
      </c>
      <c r="D27" s="25">
        <f>D26/D$17</f>
        <v>2.3841080154285588E-2</v>
      </c>
      <c r="E27" s="22">
        <v>0.03</v>
      </c>
      <c r="F27" s="22">
        <v>0.03</v>
      </c>
      <c r="G27" s="22">
        <v>0.03</v>
      </c>
      <c r="H27" s="22">
        <v>0.03</v>
      </c>
      <c r="I27" s="22">
        <v>0.03</v>
      </c>
    </row>
    <row r="28" spans="1:9">
      <c r="A28" s="4" t="s">
        <v>76</v>
      </c>
      <c r="B28" s="20">
        <v>2482</v>
      </c>
      <c r="C28" s="20">
        <v>1946</v>
      </c>
      <c r="D28" s="19">
        <v>917</v>
      </c>
      <c r="E28" s="31">
        <f>E29*E$17</f>
        <v>11492.931999999999</v>
      </c>
      <c r="F28" s="31">
        <f t="shared" ref="F28" si="24">F29*F$17</f>
        <v>16002.611699999999</v>
      </c>
      <c r="G28" s="31">
        <f t="shared" ref="G28" si="25">G29*G$17</f>
        <v>20738.538069999999</v>
      </c>
      <c r="H28" s="31">
        <f t="shared" ref="H28" si="26">H29*H$17</f>
        <v>30981.814196999996</v>
      </c>
      <c r="I28" s="31">
        <f t="shared" ref="I28" si="27">I29*I$17</f>
        <v>37137.008361699998</v>
      </c>
    </row>
    <row r="29" spans="1:9">
      <c r="A29" s="15" t="s">
        <v>259</v>
      </c>
      <c r="B29" s="25">
        <f>B28/B$17</f>
        <v>6.8273655776440916E-3</v>
      </c>
      <c r="C29" s="25">
        <f t="shared" ref="C29" si="28">C28/C$17</f>
        <v>5.4813813306292605E-3</v>
      </c>
      <c r="D29" s="25">
        <f>D28/D$17</f>
        <v>1.1857181094196705E-3</v>
      </c>
      <c r="E29" s="22">
        <v>0.01</v>
      </c>
      <c r="F29" s="22">
        <v>0.01</v>
      </c>
      <c r="G29" s="22">
        <v>0.01</v>
      </c>
      <c r="H29" s="22">
        <v>0.01</v>
      </c>
      <c r="I29" s="22">
        <v>0.01</v>
      </c>
    </row>
    <row r="30" spans="1:9">
      <c r="A30" s="4"/>
      <c r="B30" s="19"/>
      <c r="C30" s="19"/>
      <c r="D30" s="19"/>
    </row>
    <row r="31" spans="1:9">
      <c r="A31" s="3" t="s">
        <v>120</v>
      </c>
      <c r="B31" s="18">
        <f>B22+B24+B26+B28</f>
        <v>185606</v>
      </c>
      <c r="C31" s="18">
        <f>C22+C24+C26+C28</f>
        <v>102776</v>
      </c>
      <c r="D31" s="18">
        <f>D22+D24+D26+D28</f>
        <v>189275</v>
      </c>
      <c r="E31" s="18">
        <f t="shared" ref="E31:I31" si="29">E22+E24+E26+E28</f>
        <v>252844.50400000002</v>
      </c>
      <c r="F31" s="18">
        <f t="shared" si="29"/>
        <v>352057.45739999996</v>
      </c>
      <c r="G31" s="18">
        <f t="shared" si="29"/>
        <v>456247.83753999992</v>
      </c>
      <c r="H31" s="18">
        <f t="shared" si="29"/>
        <v>681599.91233399988</v>
      </c>
      <c r="I31" s="18">
        <f t="shared" si="29"/>
        <v>817014.18395739992</v>
      </c>
    </row>
    <row r="32" spans="1:9">
      <c r="A32" s="15" t="s">
        <v>259</v>
      </c>
      <c r="B32" s="25">
        <f>B31/B$17</f>
        <v>0.51055600942957668</v>
      </c>
      <c r="C32" s="25">
        <f t="shared" ref="C32" si="30">C31/C$17</f>
        <v>0.28949354965917412</v>
      </c>
      <c r="D32" s="25">
        <f>D31/D$17</f>
        <v>0.24474023463512337</v>
      </c>
      <c r="E32" s="25">
        <f t="shared" ref="E32:I32" si="31">E31/E$17</f>
        <v>0.22000000000000003</v>
      </c>
      <c r="F32" s="25">
        <f t="shared" si="31"/>
        <v>0.21999999999999997</v>
      </c>
      <c r="G32" s="25">
        <f t="shared" si="31"/>
        <v>0.21999999999999997</v>
      </c>
      <c r="H32" s="25">
        <f t="shared" si="31"/>
        <v>0.22</v>
      </c>
      <c r="I32" s="25">
        <f t="shared" si="31"/>
        <v>0.22</v>
      </c>
    </row>
    <row r="33" spans="1:9">
      <c r="A33" s="4"/>
      <c r="B33" s="5"/>
      <c r="C33" s="5"/>
      <c r="D33" s="5"/>
    </row>
    <row r="34" spans="1:9">
      <c r="A34" s="3" t="s">
        <v>124</v>
      </c>
      <c r="B34" s="26">
        <f t="shared" ref="B34" si="32">B17-B31</f>
        <v>177931</v>
      </c>
      <c r="C34" s="26">
        <f>C17-C31</f>
        <v>252244</v>
      </c>
      <c r="D34" s="26">
        <f>D17-D31</f>
        <v>584096</v>
      </c>
      <c r="E34" s="26">
        <f t="shared" ref="E34:I34" si="33">E17-E31</f>
        <v>896448.696</v>
      </c>
      <c r="F34" s="26">
        <f t="shared" si="33"/>
        <v>1248203.7126</v>
      </c>
      <c r="G34" s="26">
        <f t="shared" si="33"/>
        <v>1617605.9694599998</v>
      </c>
      <c r="H34" s="26">
        <f t="shared" si="33"/>
        <v>2416581.5073659997</v>
      </c>
      <c r="I34" s="26">
        <f t="shared" si="33"/>
        <v>2896686.6522125998</v>
      </c>
    </row>
    <row r="35" spans="1:9">
      <c r="A35" s="15" t="s">
        <v>259</v>
      </c>
      <c r="B35" s="27">
        <f>B34/B$17</f>
        <v>0.48944399057042337</v>
      </c>
      <c r="C35" s="27">
        <f t="shared" ref="C35" si="34">C34/C$17</f>
        <v>0.71050645034082582</v>
      </c>
      <c r="D35" s="27">
        <f>D34/D$17</f>
        <v>0.7552597653648766</v>
      </c>
      <c r="E35" s="27">
        <f t="shared" ref="E35:I35" si="35">E34/E$17</f>
        <v>0.78</v>
      </c>
      <c r="F35" s="27">
        <f t="shared" si="35"/>
        <v>0.78</v>
      </c>
      <c r="G35" s="27">
        <f t="shared" si="35"/>
        <v>0.78</v>
      </c>
      <c r="H35" s="27">
        <f t="shared" si="35"/>
        <v>0.78</v>
      </c>
      <c r="I35" s="27">
        <f t="shared" si="35"/>
        <v>0.78</v>
      </c>
    </row>
    <row r="36" spans="1:9">
      <c r="A36" s="4"/>
      <c r="B36" s="17"/>
      <c r="C36" s="17"/>
      <c r="D36" s="17"/>
    </row>
    <row r="37" spans="1:9">
      <c r="A37" s="3" t="s">
        <v>79</v>
      </c>
    </row>
    <row r="38" spans="1:9">
      <c r="A38" s="4" t="s">
        <v>80</v>
      </c>
      <c r="B38" s="20">
        <v>371323</v>
      </c>
      <c r="C38" s="20">
        <v>497626</v>
      </c>
      <c r="D38" s="20">
        <v>605403</v>
      </c>
      <c r="E38" s="8">
        <f>D38*(1+E39)</f>
        <v>738591.66</v>
      </c>
      <c r="F38" s="8">
        <f t="shared" ref="F38:I38" si="36">E38*(1+F39)</f>
        <v>901081.82519999996</v>
      </c>
      <c r="G38" s="8">
        <f t="shared" si="36"/>
        <v>1099319.826744</v>
      </c>
      <c r="H38" s="8">
        <f t="shared" si="36"/>
        <v>1341170.1886276798</v>
      </c>
      <c r="I38" s="8">
        <f t="shared" si="36"/>
        <v>1636227.6301257694</v>
      </c>
    </row>
    <row r="39" spans="1:9">
      <c r="A39" s="15" t="s">
        <v>255</v>
      </c>
      <c r="B39" s="29"/>
      <c r="C39" s="16">
        <f>C38/B38-1</f>
        <v>0.34014321762993394</v>
      </c>
      <c r="D39" s="16">
        <f>D38/C38-1</f>
        <v>0.21658233291668849</v>
      </c>
      <c r="E39" s="24">
        <v>0.22</v>
      </c>
      <c r="F39" s="24">
        <v>0.22</v>
      </c>
      <c r="G39" s="24">
        <v>0.22</v>
      </c>
      <c r="H39" s="24">
        <v>0.22</v>
      </c>
      <c r="I39" s="24">
        <v>0.22</v>
      </c>
    </row>
    <row r="40" spans="1:9">
      <c r="A40" s="4" t="s">
        <v>75</v>
      </c>
      <c r="B40" s="20">
        <v>-70251</v>
      </c>
      <c r="C40" s="20">
        <v>-14862</v>
      </c>
      <c r="D40" s="20">
        <v>-40031</v>
      </c>
      <c r="E40" s="8">
        <f>D40*(1+E41)</f>
        <v>-52040.3</v>
      </c>
      <c r="F40" s="8">
        <f t="shared" ref="F40" si="37">E40*(1+F41)</f>
        <v>-67652.39</v>
      </c>
      <c r="G40" s="8">
        <f t="shared" ref="G40" si="38">F40*(1+G41)</f>
        <v>-87948.107000000004</v>
      </c>
      <c r="H40" s="8">
        <f t="shared" ref="H40" si="39">G40*(1+H41)</f>
        <v>-114332.53910000001</v>
      </c>
      <c r="I40" s="8">
        <f t="shared" ref="I40" si="40">H40*(1+I41)</f>
        <v>-148632.30083000002</v>
      </c>
    </row>
    <row r="41" spans="1:9">
      <c r="A41" s="15" t="s">
        <v>255</v>
      </c>
      <c r="B41" s="29"/>
      <c r="C41" s="16">
        <f>C40/B40-1</f>
        <v>-0.78844429260793447</v>
      </c>
      <c r="D41" s="16">
        <f>D40/C40-1</f>
        <v>1.6935136589960975</v>
      </c>
      <c r="E41" s="24">
        <v>0.3</v>
      </c>
      <c r="F41" s="24">
        <v>0.3</v>
      </c>
      <c r="G41" s="24">
        <v>0.3</v>
      </c>
      <c r="H41" s="24">
        <v>0.3</v>
      </c>
      <c r="I41" s="24">
        <v>0.3</v>
      </c>
    </row>
    <row r="42" spans="1:9">
      <c r="A42" s="4" t="s">
        <v>81</v>
      </c>
      <c r="B42" s="20">
        <v>-19426</v>
      </c>
      <c r="C42" s="20">
        <v>-2281</v>
      </c>
      <c r="D42" s="20">
        <v>43547</v>
      </c>
      <c r="E42" s="8">
        <f>D42*(1+E43)</f>
        <v>56611.1</v>
      </c>
      <c r="F42" s="8">
        <f t="shared" ref="F42" si="41">E42*(1+F43)</f>
        <v>73594.430000000008</v>
      </c>
      <c r="G42" s="8">
        <f t="shared" ref="G42" si="42">F42*(1+G43)</f>
        <v>95672.75900000002</v>
      </c>
      <c r="H42" s="8">
        <f t="shared" ref="H42" si="43">G42*(1+H43)</f>
        <v>124374.58670000003</v>
      </c>
      <c r="I42" s="8">
        <f t="shared" ref="I42" si="44">H42*(1+I43)</f>
        <v>161686.96271000005</v>
      </c>
    </row>
    <row r="43" spans="1:9">
      <c r="A43" s="15" t="s">
        <v>255</v>
      </c>
      <c r="B43" s="29"/>
      <c r="C43" s="16">
        <f>C42/B42-1</f>
        <v>-0.88258004735920936</v>
      </c>
      <c r="D43" s="16">
        <f>D42/C42-1</f>
        <v>-20.091188075405523</v>
      </c>
      <c r="E43" s="24">
        <v>0.3</v>
      </c>
      <c r="F43" s="24">
        <v>0.3</v>
      </c>
      <c r="G43" s="24">
        <v>0.3</v>
      </c>
      <c r="H43" s="24">
        <v>0.3</v>
      </c>
      <c r="I43" s="24">
        <v>0.3</v>
      </c>
    </row>
    <row r="44" spans="1:9">
      <c r="A44" s="4" t="s">
        <v>82</v>
      </c>
      <c r="B44" s="20">
        <v>90128</v>
      </c>
      <c r="C44" s="20">
        <v>191847</v>
      </c>
      <c r="D44" s="20">
        <v>304901</v>
      </c>
      <c r="E44" s="8">
        <f>D44*(1+E45)</f>
        <v>426861.39999999997</v>
      </c>
      <c r="F44" s="8">
        <f t="shared" ref="F44" si="45">E44*(1+F45)</f>
        <v>597605.96</v>
      </c>
      <c r="G44" s="8">
        <f t="shared" ref="G44" si="46">F44*(1+G45)</f>
        <v>836648.34399999992</v>
      </c>
      <c r="H44" s="8">
        <f t="shared" ref="H44" si="47">G44*(1+H45)</f>
        <v>1003978.0127999999</v>
      </c>
      <c r="I44" s="8">
        <f t="shared" ref="I44" si="48">H44*(1+I45)</f>
        <v>1305171.41664</v>
      </c>
    </row>
    <row r="45" spans="1:9">
      <c r="A45" s="15" t="s">
        <v>255</v>
      </c>
      <c r="B45" s="29"/>
      <c r="C45" s="16">
        <f>C44/B44-1</f>
        <v>1.128605982602521</v>
      </c>
      <c r="D45" s="16">
        <f>D44/C44-1</f>
        <v>0.58929250913488351</v>
      </c>
      <c r="E45" s="24">
        <v>0.4</v>
      </c>
      <c r="F45" s="24">
        <v>0.4</v>
      </c>
      <c r="G45" s="24">
        <v>0.4</v>
      </c>
      <c r="H45" s="24">
        <v>0.2</v>
      </c>
      <c r="I45" s="24">
        <v>0.3</v>
      </c>
    </row>
    <row r="46" spans="1:9">
      <c r="A46" s="4" t="s">
        <v>76</v>
      </c>
      <c r="B46" s="20">
        <v>15827</v>
      </c>
      <c r="C46" s="20">
        <v>60298</v>
      </c>
      <c r="D46" s="20">
        <v>75619</v>
      </c>
      <c r="E46" s="8">
        <f>D46*(1+E47)</f>
        <v>105866.59999999999</v>
      </c>
      <c r="F46" s="8">
        <f t="shared" ref="F46" si="49">E46*(1+F47)</f>
        <v>137626.57999999999</v>
      </c>
      <c r="G46" s="8">
        <f t="shared" ref="G46" si="50">F46*(1+G47)</f>
        <v>178914.554</v>
      </c>
      <c r="H46" s="8">
        <f t="shared" ref="H46" si="51">G46*(1+H47)</f>
        <v>214697.46479999999</v>
      </c>
      <c r="I46" s="8">
        <f t="shared" ref="I46" si="52">H46*(1+I47)</f>
        <v>236167.21128000002</v>
      </c>
    </row>
    <row r="47" spans="1:9">
      <c r="A47" s="15" t="s">
        <v>255</v>
      </c>
      <c r="B47" s="29"/>
      <c r="C47" s="16">
        <f>C46/B46-1</f>
        <v>2.8098186643078282</v>
      </c>
      <c r="D47" s="16">
        <f>D46/C46-1</f>
        <v>0.25408802945371312</v>
      </c>
      <c r="E47" s="24">
        <v>0.4</v>
      </c>
      <c r="F47" s="24">
        <v>0.3</v>
      </c>
      <c r="G47" s="24">
        <v>0.3</v>
      </c>
      <c r="H47" s="24">
        <v>0.2</v>
      </c>
      <c r="I47" s="24">
        <v>0.1</v>
      </c>
    </row>
    <row r="48" spans="1:9">
      <c r="A48" s="4"/>
      <c r="B48" s="20"/>
      <c r="C48" s="20"/>
      <c r="D48" s="20"/>
    </row>
    <row r="49" spans="1:9">
      <c r="A49" s="3" t="s">
        <v>138</v>
      </c>
      <c r="B49" s="18">
        <f t="shared" ref="B49" si="53">B46+B44+B42+B40+B38</f>
        <v>387601</v>
      </c>
      <c r="C49" s="18">
        <f>C46+C44+C42+C40+C38</f>
        <v>732628</v>
      </c>
      <c r="D49" s="18">
        <f>D46+D44+D42+D40+D38</f>
        <v>989439</v>
      </c>
      <c r="E49" s="18">
        <f t="shared" ref="E49:I49" si="54">E46+E44+E42+E40+E38</f>
        <v>1275890.46</v>
      </c>
      <c r="F49" s="18">
        <f t="shared" si="54"/>
        <v>1642256.4051999999</v>
      </c>
      <c r="G49" s="18">
        <f t="shared" si="54"/>
        <v>2122607.3767439998</v>
      </c>
      <c r="H49" s="18">
        <f t="shared" si="54"/>
        <v>2569887.7138276799</v>
      </c>
      <c r="I49" s="18">
        <f t="shared" si="54"/>
        <v>3190620.9199257693</v>
      </c>
    </row>
    <row r="50" spans="1:9">
      <c r="A50" s="15" t="s">
        <v>255</v>
      </c>
      <c r="B50" s="29"/>
      <c r="C50" s="16">
        <f>C49/B49-1</f>
        <v>0.89016024210463862</v>
      </c>
      <c r="D50" s="16">
        <f>D49/C49-1</f>
        <v>0.35053396812570625</v>
      </c>
      <c r="E50" s="16">
        <f t="shared" ref="E50:I50" si="55">E49/D49-1</f>
        <v>0.28950896417060568</v>
      </c>
      <c r="F50" s="16">
        <f t="shared" si="55"/>
        <v>0.2871452970970565</v>
      </c>
      <c r="G50" s="16">
        <f t="shared" si="55"/>
        <v>0.29249450330839233</v>
      </c>
      <c r="H50" s="16">
        <f t="shared" si="55"/>
        <v>0.21072212505441845</v>
      </c>
      <c r="I50" s="16">
        <f t="shared" si="55"/>
        <v>0.24154098358388887</v>
      </c>
    </row>
    <row r="51" spans="1:9">
      <c r="A51" s="15" t="s">
        <v>259</v>
      </c>
      <c r="B51" s="25">
        <f>B49/B$17</f>
        <v>1.0661940875344187</v>
      </c>
      <c r="C51" s="25">
        <f t="shared" ref="C51:D51" si="56">C49/C$17</f>
        <v>2.0636245845304488</v>
      </c>
      <c r="D51" s="25">
        <f t="shared" si="56"/>
        <v>1.2793846679019514</v>
      </c>
      <c r="E51" s="25">
        <f t="shared" ref="E51:I51" si="57">E49/E$17</f>
        <v>1.1101522744587717</v>
      </c>
      <c r="F51" s="25">
        <f t="shared" si="57"/>
        <v>1.0262427383650132</v>
      </c>
      <c r="G51" s="25">
        <f t="shared" si="57"/>
        <v>1.0235086820389361</v>
      </c>
      <c r="H51" s="25">
        <f t="shared" si="57"/>
        <v>0.82948264342651856</v>
      </c>
      <c r="I51" s="25">
        <f t="shared" si="57"/>
        <v>0.85914861230887651</v>
      </c>
    </row>
    <row r="52" spans="1:9">
      <c r="A52" s="15"/>
      <c r="B52" s="25"/>
      <c r="C52" s="25"/>
      <c r="D52" s="25"/>
    </row>
    <row r="53" spans="1:9">
      <c r="A53" s="3" t="s">
        <v>142</v>
      </c>
      <c r="B53" s="18">
        <f t="shared" ref="B53" si="58">B34+B49</f>
        <v>565532</v>
      </c>
      <c r="C53" s="18">
        <f>C34+C49</f>
        <v>984872</v>
      </c>
      <c r="D53" s="18">
        <f>D34+D49</f>
        <v>1573535</v>
      </c>
      <c r="E53" s="18">
        <f t="shared" ref="E53:I53" si="59">E34+E49</f>
        <v>2172339.156</v>
      </c>
      <c r="F53" s="18">
        <f t="shared" si="59"/>
        <v>2890460.1178000001</v>
      </c>
      <c r="G53" s="18">
        <f t="shared" si="59"/>
        <v>3740213.3462039996</v>
      </c>
      <c r="H53" s="18">
        <f t="shared" si="59"/>
        <v>4986469.2211936796</v>
      </c>
      <c r="I53" s="18">
        <f t="shared" si="59"/>
        <v>6087307.5721383691</v>
      </c>
    </row>
    <row r="54" spans="1:9">
      <c r="A54" s="15" t="s">
        <v>255</v>
      </c>
      <c r="B54" s="29"/>
      <c r="C54" s="16">
        <f>C53/B53-1</f>
        <v>0.74149650240835174</v>
      </c>
      <c r="D54" s="16">
        <f>D53/C53-1</f>
        <v>0.59770508248787668</v>
      </c>
      <c r="E54" s="16">
        <f t="shared" ref="E54:I54" si="60">E53/D53-1</f>
        <v>0.3805470841131593</v>
      </c>
      <c r="F54" s="16">
        <f t="shared" si="60"/>
        <v>0.33057497482220977</v>
      </c>
      <c r="G54" s="16">
        <f t="shared" si="60"/>
        <v>0.29398545344772553</v>
      </c>
      <c r="H54" s="16">
        <f t="shared" si="60"/>
        <v>0.33320448852323481</v>
      </c>
      <c r="I54" s="16">
        <f t="shared" si="60"/>
        <v>0.22076509492244822</v>
      </c>
    </row>
    <row r="55" spans="1:9">
      <c r="A55" s="15" t="s">
        <v>259</v>
      </c>
      <c r="B55" s="25">
        <f>B53/B$17</f>
        <v>1.5556380781048422</v>
      </c>
      <c r="C55" s="25">
        <f t="shared" ref="C55:D55" si="61">C53/C$17</f>
        <v>2.7741310348712749</v>
      </c>
      <c r="D55" s="25">
        <f t="shared" si="61"/>
        <v>2.0346444332668279</v>
      </c>
      <c r="E55" s="25">
        <f t="shared" ref="E55:I55" si="62">E53/E$17</f>
        <v>1.8901522744587718</v>
      </c>
      <c r="F55" s="25">
        <f t="shared" si="62"/>
        <v>1.8062427383650135</v>
      </c>
      <c r="G55" s="25">
        <f t="shared" si="62"/>
        <v>1.8035086820389361</v>
      </c>
      <c r="H55" s="25">
        <f t="shared" si="62"/>
        <v>1.6094826434265186</v>
      </c>
      <c r="I55" s="25">
        <f t="shared" si="62"/>
        <v>1.6391486123088765</v>
      </c>
    </row>
    <row r="56" spans="1:9">
      <c r="A56" s="15"/>
      <c r="B56" s="25"/>
      <c r="C56" s="25"/>
      <c r="D56" s="25"/>
    </row>
    <row r="57" spans="1:9">
      <c r="A57" s="3" t="s">
        <v>83</v>
      </c>
    </row>
    <row r="58" spans="1:9">
      <c r="A58" s="4" t="s">
        <v>84</v>
      </c>
      <c r="B58" s="20">
        <v>201199</v>
      </c>
      <c r="C58" s="20">
        <v>276087</v>
      </c>
      <c r="D58" s="20">
        <v>405257</v>
      </c>
      <c r="E58" s="8">
        <f>E59*E$49</f>
        <v>510356.18400000001</v>
      </c>
      <c r="F58" s="8">
        <f t="shared" ref="F58:I58" si="63">F59*F$49</f>
        <v>656902.56208000006</v>
      </c>
      <c r="G58" s="8">
        <f t="shared" si="63"/>
        <v>849042.95069759991</v>
      </c>
      <c r="H58" s="8">
        <f t="shared" si="63"/>
        <v>1027955.085531072</v>
      </c>
      <c r="I58" s="8">
        <f t="shared" si="63"/>
        <v>1276248.3679703078</v>
      </c>
    </row>
    <row r="59" spans="1:9">
      <c r="A59" s="15" t="s">
        <v>258</v>
      </c>
      <c r="B59" s="25">
        <f>B58/B$49</f>
        <v>0.51908792804972126</v>
      </c>
      <c r="C59" s="25">
        <f t="shared" ref="C59:D59" si="64">C58/C$49</f>
        <v>0.37684472883919262</v>
      </c>
      <c r="D59" s="25">
        <f t="shared" si="64"/>
        <v>0.4095826018582247</v>
      </c>
      <c r="E59" s="24">
        <v>0.4</v>
      </c>
      <c r="F59" s="24">
        <v>0.4</v>
      </c>
      <c r="G59" s="24">
        <v>0.4</v>
      </c>
      <c r="H59" s="24">
        <v>0.4</v>
      </c>
      <c r="I59" s="24">
        <v>0.4</v>
      </c>
    </row>
    <row r="60" spans="1:9">
      <c r="A60" s="4" t="s">
        <v>85</v>
      </c>
      <c r="B60" s="20">
        <v>276577</v>
      </c>
      <c r="C60" s="20">
        <v>426875</v>
      </c>
      <c r="D60" s="20">
        <v>617823</v>
      </c>
      <c r="E60" s="8">
        <f>E61*E$49</f>
        <v>637945.23</v>
      </c>
      <c r="F60" s="8">
        <f t="shared" ref="F60" si="65">F61*F$49</f>
        <v>821128.20259999996</v>
      </c>
      <c r="G60" s="8">
        <f t="shared" ref="G60" si="66">G61*G$49</f>
        <v>1061303.6883719999</v>
      </c>
      <c r="H60" s="8">
        <f t="shared" ref="H60" si="67">H61*H$49</f>
        <v>1284943.8569138399</v>
      </c>
      <c r="I60" s="8">
        <f t="shared" ref="I60" si="68">I61*I$49</f>
        <v>1595310.4599628847</v>
      </c>
    </row>
    <row r="61" spans="1:9">
      <c r="A61" s="15" t="s">
        <v>258</v>
      </c>
      <c r="B61" s="25">
        <f>B60/B$49</f>
        <v>0.71356111052345061</v>
      </c>
      <c r="C61" s="25">
        <f t="shared" ref="C61" si="69">C60/C$49</f>
        <v>0.58266268829474166</v>
      </c>
      <c r="D61" s="25">
        <f t="shared" ref="D61" si="70">D60/D$49</f>
        <v>0.62441747293163097</v>
      </c>
      <c r="E61" s="24">
        <v>0.5</v>
      </c>
      <c r="F61" s="24">
        <v>0.5</v>
      </c>
      <c r="G61" s="24">
        <v>0.5</v>
      </c>
      <c r="H61" s="24">
        <v>0.5</v>
      </c>
      <c r="I61" s="24">
        <v>0.5</v>
      </c>
    </row>
    <row r="62" spans="1:9">
      <c r="A62" s="4" t="s">
        <v>86</v>
      </c>
      <c r="B62" s="20">
        <v>178896</v>
      </c>
      <c r="C62" s="20">
        <v>256980</v>
      </c>
      <c r="D62" s="20">
        <v>313226</v>
      </c>
      <c r="E62" s="8">
        <f>E63*E$49</f>
        <v>408284.9472</v>
      </c>
      <c r="F62" s="8">
        <f t="shared" ref="F62" si="71">F63*F$49</f>
        <v>525522.04966399993</v>
      </c>
      <c r="G62" s="8">
        <f t="shared" ref="G62" si="72">G63*G$49</f>
        <v>679234.3605580799</v>
      </c>
      <c r="H62" s="8">
        <f t="shared" ref="H62" si="73">H63*H$49</f>
        <v>822364.06842485757</v>
      </c>
      <c r="I62" s="8">
        <f t="shared" ref="I62" si="74">I63*I$49</f>
        <v>1020998.6943762462</v>
      </c>
    </row>
    <row r="63" spans="1:9">
      <c r="A63" s="15" t="s">
        <v>258</v>
      </c>
      <c r="B63" s="25">
        <f>B62/B$49</f>
        <v>0.46154679683488947</v>
      </c>
      <c r="C63" s="25">
        <f t="shared" ref="C63" si="75">C62/C$49</f>
        <v>0.35076464453993023</v>
      </c>
      <c r="D63" s="25">
        <f t="shared" ref="D63" si="76">D62/D$49</f>
        <v>0.31656928825324249</v>
      </c>
      <c r="E63" s="24">
        <v>0.32</v>
      </c>
      <c r="F63" s="24">
        <v>0.32</v>
      </c>
      <c r="G63" s="24">
        <v>0.32</v>
      </c>
      <c r="H63" s="24">
        <v>0.32</v>
      </c>
      <c r="I63" s="24">
        <v>0.32</v>
      </c>
    </row>
    <row r="64" spans="1:9">
      <c r="A64" s="4" t="s">
        <v>87</v>
      </c>
      <c r="B64" s="20">
        <v>237381</v>
      </c>
      <c r="C64" s="20">
        <v>498534</v>
      </c>
      <c r="D64" s="20">
        <v>501618</v>
      </c>
      <c r="E64" s="8">
        <f>E65*E$49</f>
        <v>637945.23</v>
      </c>
      <c r="F64" s="8">
        <f t="shared" ref="F64" si="77">F65*F$49</f>
        <v>821128.20259999996</v>
      </c>
      <c r="G64" s="8">
        <f t="shared" ref="G64" si="78">G65*G$49</f>
        <v>1061303.6883719999</v>
      </c>
      <c r="H64" s="8">
        <f t="shared" ref="H64" si="79">H65*H$49</f>
        <v>1284943.8569138399</v>
      </c>
      <c r="I64" s="8">
        <f t="shared" ref="I64" si="80">I65*I$49</f>
        <v>1595310.4599628847</v>
      </c>
    </row>
    <row r="65" spans="1:9">
      <c r="A65" s="15" t="s">
        <v>258</v>
      </c>
      <c r="B65" s="25">
        <f>B64/B$49</f>
        <v>0.61243650042182551</v>
      </c>
      <c r="C65" s="25">
        <f t="shared" ref="C65" si="81">C64/C$49</f>
        <v>0.68047358277324921</v>
      </c>
      <c r="D65" s="25">
        <f t="shared" ref="D65" si="82">D64/D$49</f>
        <v>0.50697213269337471</v>
      </c>
      <c r="E65" s="24">
        <v>0.5</v>
      </c>
      <c r="F65" s="24">
        <v>0.5</v>
      </c>
      <c r="G65" s="24">
        <v>0.5</v>
      </c>
      <c r="H65" s="24">
        <v>0.5</v>
      </c>
      <c r="I65" s="24">
        <v>0.5</v>
      </c>
    </row>
    <row r="66" spans="1:9">
      <c r="A66" s="4" t="s">
        <v>158</v>
      </c>
      <c r="B66" s="19">
        <v>0</v>
      </c>
      <c r="C66" s="20">
        <v>7573</v>
      </c>
      <c r="D66" s="20">
        <v>54332</v>
      </c>
      <c r="E66" s="8">
        <f>E67*E$49</f>
        <v>38276.713799999998</v>
      </c>
      <c r="F66" s="8">
        <f t="shared" ref="F66" si="83">F67*F$49</f>
        <v>49267.692155999997</v>
      </c>
      <c r="G66" s="8">
        <f t="shared" ref="G66" si="84">G67*G$49</f>
        <v>63678.221302319987</v>
      </c>
      <c r="H66" s="8">
        <f t="shared" ref="H66" si="85">H67*H$49</f>
        <v>77096.631414830394</v>
      </c>
      <c r="I66" s="8">
        <f t="shared" ref="I66" si="86">I67*I$49</f>
        <v>95718.627597773069</v>
      </c>
    </row>
    <row r="67" spans="1:9">
      <c r="A67" s="15" t="s">
        <v>258</v>
      </c>
      <c r="B67" s="25">
        <f>B66/B$49</f>
        <v>0</v>
      </c>
      <c r="C67" s="25">
        <f t="shared" ref="C67" si="87">C66/C$49</f>
        <v>1.0336760265782908E-2</v>
      </c>
      <c r="D67" s="25">
        <f t="shared" ref="D67" si="88">D66/D$49</f>
        <v>5.4911924838216407E-2</v>
      </c>
      <c r="E67" s="24">
        <v>0.03</v>
      </c>
      <c r="F67" s="24">
        <v>0.03</v>
      </c>
      <c r="G67" s="24">
        <v>0.03</v>
      </c>
      <c r="H67" s="24">
        <v>0.03</v>
      </c>
      <c r="I67" s="24">
        <v>0.03</v>
      </c>
    </row>
    <row r="68" spans="1:9">
      <c r="A68" s="4"/>
      <c r="B68" s="19"/>
      <c r="C68" s="20"/>
      <c r="D68" s="20"/>
    </row>
    <row r="69" spans="1:9">
      <c r="A69" s="3" t="s">
        <v>161</v>
      </c>
      <c r="B69" s="21">
        <f t="shared" ref="B69" si="89">B58+B60+B62+B64+B66</f>
        <v>894053</v>
      </c>
      <c r="C69" s="21">
        <f>C58+C60+C62+C64+C66</f>
        <v>1466049</v>
      </c>
      <c r="D69" s="21">
        <f>D58+D60+D62+D64+D66</f>
        <v>1892256</v>
      </c>
      <c r="E69" s="21">
        <f t="shared" ref="E69:I69" si="90">E58+E60+E62+E64+E66</f>
        <v>2232808.3049999997</v>
      </c>
      <c r="F69" s="21">
        <f t="shared" si="90"/>
        <v>2873948.7091000001</v>
      </c>
      <c r="G69" s="21">
        <f t="shared" si="90"/>
        <v>3714562.9093019995</v>
      </c>
      <c r="H69" s="21">
        <f t="shared" si="90"/>
        <v>4497303.4991984405</v>
      </c>
      <c r="I69" s="21">
        <f t="shared" si="90"/>
        <v>5583586.6098700967</v>
      </c>
    </row>
    <row r="70" spans="1:9">
      <c r="A70" s="15" t="s">
        <v>258</v>
      </c>
      <c r="B70" s="25">
        <f>B69/B$49</f>
        <v>2.306632335829887</v>
      </c>
      <c r="C70" s="25">
        <f t="shared" ref="C70" si="91">C69/C$49</f>
        <v>2.0010824047128968</v>
      </c>
      <c r="D70" s="25">
        <f t="shared" ref="D70" si="92">D69/D$49</f>
        <v>1.9124534205746893</v>
      </c>
      <c r="E70" s="25">
        <f t="shared" ref="E70" si="93">E69/E$49</f>
        <v>1.7499999999999998</v>
      </c>
      <c r="F70" s="25">
        <f t="shared" ref="F70" si="94">F69/F$49</f>
        <v>1.7500000000000002</v>
      </c>
      <c r="G70" s="25">
        <f t="shared" ref="G70" si="95">G69/G$49</f>
        <v>1.75</v>
      </c>
      <c r="H70" s="25">
        <f t="shared" ref="H70" si="96">H69/H$49</f>
        <v>1.7500000000000002</v>
      </c>
      <c r="I70" s="25">
        <f t="shared" ref="I70" si="97">I69/I$49</f>
        <v>1.75</v>
      </c>
    </row>
    <row r="71" spans="1:9">
      <c r="A71" s="15"/>
      <c r="B71" s="29"/>
      <c r="C71" s="16"/>
      <c r="D71" s="16"/>
    </row>
    <row r="72" spans="1:9">
      <c r="A72" s="3" t="s">
        <v>165</v>
      </c>
      <c r="B72" s="18">
        <f t="shared" ref="B72" si="98">B53-B69</f>
        <v>-328521</v>
      </c>
      <c r="C72" s="18">
        <f>C53-C69</f>
        <v>-481177</v>
      </c>
      <c r="D72" s="18">
        <f>D53-D69</f>
        <v>-318721</v>
      </c>
      <c r="E72" s="18">
        <f t="shared" ref="E72:I72" si="99">E53-E69</f>
        <v>-60469.148999999743</v>
      </c>
      <c r="F72" s="18">
        <f t="shared" si="99"/>
        <v>16511.408700000029</v>
      </c>
      <c r="G72" s="18">
        <f t="shared" si="99"/>
        <v>25650.436902000103</v>
      </c>
      <c r="H72" s="18">
        <f t="shared" si="99"/>
        <v>489165.72199523915</v>
      </c>
      <c r="I72" s="18">
        <f t="shared" si="99"/>
        <v>503720.96226827241</v>
      </c>
    </row>
    <row r="73" spans="1:9">
      <c r="A73" s="4" t="s">
        <v>88</v>
      </c>
      <c r="B73" s="20">
        <v>104468</v>
      </c>
      <c r="C73" s="20">
        <v>-2760</v>
      </c>
      <c r="D73" s="20">
        <v>-1686</v>
      </c>
      <c r="E73" s="8">
        <f>E74*E72</f>
        <v>-604.69148999999743</v>
      </c>
      <c r="F73" s="8">
        <f t="shared" ref="F73:I73" si="100">F74*F72</f>
        <v>165.1140870000003</v>
      </c>
      <c r="G73" s="8">
        <f t="shared" si="100"/>
        <v>256.50436902000104</v>
      </c>
      <c r="H73" s="8">
        <f t="shared" si="100"/>
        <v>4891.6572199523916</v>
      </c>
      <c r="I73" s="8">
        <f t="shared" si="100"/>
        <v>5037.2096226827243</v>
      </c>
    </row>
    <row r="74" spans="1:9">
      <c r="A74" s="15" t="s">
        <v>256</v>
      </c>
      <c r="B74" s="16">
        <f>B73/B72</f>
        <v>-0.31799489225955113</v>
      </c>
      <c r="C74" s="16">
        <f>C73/C72</f>
        <v>5.7359350093624589E-3</v>
      </c>
      <c r="D74" s="16">
        <f>D73/D72</f>
        <v>5.2898930412492431E-3</v>
      </c>
      <c r="E74" s="22">
        <v>0.01</v>
      </c>
      <c r="F74" s="22">
        <v>0.01</v>
      </c>
      <c r="G74" s="22">
        <v>0.01</v>
      </c>
      <c r="H74" s="22">
        <v>0.01</v>
      </c>
      <c r="I74" s="22">
        <v>0.01</v>
      </c>
    </row>
    <row r="75" spans="1:9">
      <c r="A75" s="4"/>
      <c r="B75" s="14"/>
      <c r="C75" s="14"/>
      <c r="D75" s="14"/>
    </row>
    <row r="76" spans="1:9">
      <c r="A76" s="3" t="s">
        <v>167</v>
      </c>
      <c r="B76" s="18">
        <v>-224053</v>
      </c>
      <c r="C76" s="18">
        <v>-483937</v>
      </c>
      <c r="D76" s="18">
        <v>-320407</v>
      </c>
      <c r="E76" s="18">
        <v>-320407</v>
      </c>
      <c r="F76" s="18">
        <v>-320407</v>
      </c>
      <c r="G76" s="18">
        <v>-320407</v>
      </c>
      <c r="H76" s="18">
        <v>-320407</v>
      </c>
      <c r="I76" s="18">
        <v>-320407</v>
      </c>
    </row>
    <row r="77" spans="1:9">
      <c r="A77" s="15" t="s">
        <v>255</v>
      </c>
      <c r="B77" s="29"/>
      <c r="C77" s="16">
        <f>C76/B76-1</f>
        <v>1.1599219827451539</v>
      </c>
      <c r="D77" s="16">
        <f>D76/C76-1</f>
        <v>-0.33791588574545861</v>
      </c>
      <c r="E77" s="16">
        <f t="shared" ref="E77:I77" si="101">E76/D76-1</f>
        <v>0</v>
      </c>
      <c r="F77" s="16">
        <f t="shared" si="101"/>
        <v>0</v>
      </c>
      <c r="G77" s="16">
        <f t="shared" si="101"/>
        <v>0</v>
      </c>
      <c r="H77" s="16">
        <f t="shared" si="101"/>
        <v>0</v>
      </c>
      <c r="I77" s="16">
        <f t="shared" si="101"/>
        <v>0</v>
      </c>
    </row>
    <row r="78" spans="1:9">
      <c r="A78" s="15"/>
      <c r="B78" s="29"/>
      <c r="C78" s="16"/>
      <c r="D78" s="16"/>
    </row>
    <row r="79" spans="1:9">
      <c r="A79" s="3" t="s">
        <v>89</v>
      </c>
    </row>
    <row r="80" spans="1:9">
      <c r="A80" s="3"/>
    </row>
    <row r="81" spans="1:9">
      <c r="A81" s="4" t="s">
        <v>168</v>
      </c>
      <c r="B81" s="19">
        <v>0</v>
      </c>
      <c r="C81" s="20">
        <v>-1351</v>
      </c>
      <c r="D81" s="20">
        <v>-7260</v>
      </c>
    </row>
    <row r="82" spans="1:9">
      <c r="A82" s="4" t="s">
        <v>169</v>
      </c>
      <c r="B82" s="19">
        <v>-145</v>
      </c>
      <c r="C82" s="19">
        <v>46</v>
      </c>
      <c r="D82" s="19">
        <v>435</v>
      </c>
    </row>
    <row r="83" spans="1:9">
      <c r="A83" s="3" t="s">
        <v>172</v>
      </c>
      <c r="B83" s="18">
        <f>B81+B82</f>
        <v>-145</v>
      </c>
      <c r="C83" s="18">
        <f>C81+C82</f>
        <v>-1305</v>
      </c>
      <c r="D83" s="18">
        <f>D81+D82</f>
        <v>-6825</v>
      </c>
      <c r="E83" s="31">
        <f>E84*E$17</f>
        <v>-11492.931999999999</v>
      </c>
      <c r="F83" s="31">
        <f t="shared" ref="F83" si="102">F84*F$17</f>
        <v>-16002.611699999999</v>
      </c>
      <c r="G83" s="31">
        <f t="shared" ref="G83" si="103">G84*G$17</f>
        <v>-20738.538069999999</v>
      </c>
      <c r="H83" s="31">
        <f t="shared" ref="H83" si="104">H84*H$17</f>
        <v>-30981.814196999996</v>
      </c>
      <c r="I83" s="31">
        <f t="shared" ref="I83" si="105">I84*I$17</f>
        <v>-37137.008361699998</v>
      </c>
    </row>
    <row r="84" spans="1:9">
      <c r="A84" s="15" t="s">
        <v>259</v>
      </c>
      <c r="B84" s="28">
        <f>B83/B$17</f>
        <v>-3.988589882185307E-4</v>
      </c>
      <c r="C84" s="28">
        <f t="shared" ref="C84" si="106">C83/C$17</f>
        <v>-3.6758492479296943E-3</v>
      </c>
      <c r="D84" s="28">
        <f>D83/D$17</f>
        <v>-8.8250011960624326E-3</v>
      </c>
      <c r="E84" s="22">
        <v>-0.01</v>
      </c>
      <c r="F84" s="22">
        <v>-0.01</v>
      </c>
      <c r="G84" s="22">
        <v>-0.01</v>
      </c>
      <c r="H84" s="22">
        <v>-0.01</v>
      </c>
      <c r="I84" s="22">
        <v>-0.01</v>
      </c>
    </row>
    <row r="85" spans="1:9">
      <c r="A85" s="3" t="s">
        <v>173</v>
      </c>
      <c r="B85" s="18">
        <f>B76+B83</f>
        <v>-224198</v>
      </c>
      <c r="C85" s="18">
        <f>C76+C83</f>
        <v>-485242</v>
      </c>
      <c r="D85" s="18">
        <f>D76+D83</f>
        <v>-327232</v>
      </c>
      <c r="E85" s="18">
        <f t="shared" ref="E85:I85" si="107">E76+E83</f>
        <v>-331899.93199999997</v>
      </c>
      <c r="F85" s="18">
        <f t="shared" si="107"/>
        <v>-336409.61170000001</v>
      </c>
      <c r="G85" s="18">
        <f t="shared" si="107"/>
        <v>-341145.53807000001</v>
      </c>
      <c r="H85" s="18">
        <f t="shared" si="107"/>
        <v>-351388.814197</v>
      </c>
      <c r="I85" s="18">
        <f t="shared" si="107"/>
        <v>-357544.00836169999</v>
      </c>
    </row>
    <row r="86" spans="1:9">
      <c r="A86" s="15" t="s">
        <v>255</v>
      </c>
      <c r="B86" s="29"/>
      <c r="C86" s="16">
        <f>C85/B85-1</f>
        <v>1.1643458014790498</v>
      </c>
      <c r="D86" s="16">
        <f>D85/C85-1</f>
        <v>-0.32563133446816228</v>
      </c>
      <c r="E86" s="16">
        <f t="shared" ref="E86:I86" si="108">E85/D85-1</f>
        <v>1.4264900743203413E-2</v>
      </c>
      <c r="F86" s="16">
        <f t="shared" si="108"/>
        <v>1.3587467984175428E-2</v>
      </c>
      <c r="G86" s="16">
        <f t="shared" si="108"/>
        <v>1.4077856890198914E-2</v>
      </c>
      <c r="H86" s="16">
        <f t="shared" si="108"/>
        <v>3.0026117840938005E-2</v>
      </c>
      <c r="I86" s="16">
        <f t="shared" si="108"/>
        <v>1.7516761820566051E-2</v>
      </c>
    </row>
    <row r="87" spans="1:9">
      <c r="A87" s="4"/>
      <c r="B87" s="5"/>
      <c r="C87" s="5"/>
      <c r="D87" s="5"/>
    </row>
    <row r="88" spans="1:9">
      <c r="A88" s="4"/>
      <c r="B88" s="5"/>
      <c r="C88" s="5"/>
      <c r="D88" s="5"/>
    </row>
    <row r="89" spans="1:9">
      <c r="A89" s="3" t="s">
        <v>261</v>
      </c>
    </row>
    <row r="90" spans="1:9">
      <c r="A90" s="4" t="s">
        <v>262</v>
      </c>
      <c r="B90" s="20">
        <v>69832</v>
      </c>
      <c r="C90" s="20">
        <v>101568</v>
      </c>
      <c r="D90" s="20">
        <v>151360</v>
      </c>
      <c r="E90" s="31">
        <f>E91*E$17</f>
        <v>224933.46498898976</v>
      </c>
      <c r="F90" s="31">
        <f t="shared" ref="F90" si="109">F91*F$17</f>
        <v>313194.48323146329</v>
      </c>
      <c r="G90" s="31">
        <f t="shared" ref="G90" si="110">G91*G$17</f>
        <v>405883.47924543329</v>
      </c>
      <c r="H90" s="31">
        <f t="shared" ref="H90" si="111">H91*H$17</f>
        <v>606359.35364241991</v>
      </c>
      <c r="I90" s="31">
        <f t="shared" ref="I90" si="112">I91*I$17</f>
        <v>726825.49327902275</v>
      </c>
    </row>
    <row r="91" spans="1:9">
      <c r="A91" s="15" t="s">
        <v>259</v>
      </c>
      <c r="B91" s="25">
        <f>B90/B$17</f>
        <v>0.19209048872604439</v>
      </c>
      <c r="C91" s="25">
        <f t="shared" ref="C91:D91" si="113">C90/C$17</f>
        <v>0.28609092445496026</v>
      </c>
      <c r="D91" s="25">
        <f t="shared" si="113"/>
        <v>0.19571460528000145</v>
      </c>
      <c r="E91" s="22">
        <f>D91</f>
        <v>0.19571460528000145</v>
      </c>
      <c r="F91" s="22">
        <f t="shared" ref="F91:I91" si="114">E91</f>
        <v>0.19571460528000145</v>
      </c>
      <c r="G91" s="22">
        <f t="shared" si="114"/>
        <v>0.19571460528000145</v>
      </c>
      <c r="H91" s="22">
        <f t="shared" si="114"/>
        <v>0.19571460528000145</v>
      </c>
      <c r="I91" s="22">
        <f t="shared" si="114"/>
        <v>0.19571460528000145</v>
      </c>
    </row>
    <row r="92" spans="1:9">
      <c r="A92" s="4" t="s">
        <v>263</v>
      </c>
      <c r="B92" s="20">
        <v>99870</v>
      </c>
      <c r="C92" s="20">
        <v>239011</v>
      </c>
      <c r="D92" s="20">
        <v>305994</v>
      </c>
      <c r="E92" s="31">
        <f>E93*E$17</f>
        <v>454732.36446776515</v>
      </c>
      <c r="F92" s="31">
        <f t="shared" ref="F92:I92" si="115">F93*F$17</f>
        <v>633163.53529286722</v>
      </c>
      <c r="G92" s="31">
        <f t="shared" si="115"/>
        <v>820546.44125414314</v>
      </c>
      <c r="H92" s="31">
        <f t="shared" si="115"/>
        <v>1225834.5934094782</v>
      </c>
      <c r="I92" s="31">
        <f t="shared" si="115"/>
        <v>1469372.6215011978</v>
      </c>
    </row>
    <row r="93" spans="1:9">
      <c r="A93" s="15" t="s">
        <v>259</v>
      </c>
      <c r="B93" s="25">
        <f>B92/B$17</f>
        <v>0.27471756657506663</v>
      </c>
      <c r="C93" s="25">
        <f t="shared" ref="C93:D93" si="116">C92/C$17</f>
        <v>0.6732324939440032</v>
      </c>
      <c r="D93" s="25">
        <f t="shared" si="116"/>
        <v>0.39566262505317629</v>
      </c>
      <c r="E93" s="22">
        <f>D93</f>
        <v>0.39566262505317629</v>
      </c>
      <c r="F93" s="22">
        <f t="shared" ref="F93:I93" si="117">E93</f>
        <v>0.39566262505317629</v>
      </c>
      <c r="G93" s="22">
        <f t="shared" si="117"/>
        <v>0.39566262505317629</v>
      </c>
      <c r="H93" s="22">
        <f t="shared" si="117"/>
        <v>0.39566262505317629</v>
      </c>
      <c r="I93" s="22">
        <f t="shared" si="117"/>
        <v>0.39566262505317629</v>
      </c>
    </row>
    <row r="94" spans="1:9">
      <c r="A94" s="4"/>
      <c r="B94" s="4"/>
      <c r="C94" s="4"/>
      <c r="D94" s="4"/>
    </row>
    <row r="95" spans="1:9">
      <c r="A95" s="33" t="s">
        <v>261</v>
      </c>
      <c r="B95" s="34">
        <f>B85+B90+B92</f>
        <v>-54496</v>
      </c>
      <c r="C95" s="34">
        <f t="shared" ref="C95:I95" si="118">C85+C90+C92</f>
        <v>-144663</v>
      </c>
      <c r="D95" s="34">
        <f t="shared" si="118"/>
        <v>130122</v>
      </c>
      <c r="E95" s="34">
        <f t="shared" si="118"/>
        <v>347765.89745675493</v>
      </c>
      <c r="F95" s="34">
        <f t="shared" si="118"/>
        <v>609948.40682433057</v>
      </c>
      <c r="G95" s="34">
        <f t="shared" si="118"/>
        <v>885284.38242957648</v>
      </c>
      <c r="H95" s="34">
        <f t="shared" si="118"/>
        <v>1480805.132854898</v>
      </c>
      <c r="I95" s="34">
        <f t="shared" si="118"/>
        <v>1838654.1064185207</v>
      </c>
    </row>
    <row r="97" spans="1:9">
      <c r="A97" s="33" t="s">
        <v>264</v>
      </c>
    </row>
    <row r="98" spans="1:9">
      <c r="A98" s="8" t="s">
        <v>265</v>
      </c>
      <c r="C98" s="19">
        <v>9064453</v>
      </c>
      <c r="D98" s="20">
        <v>18837571</v>
      </c>
    </row>
    <row r="99" spans="1:9">
      <c r="A99" s="8" t="s">
        <v>266</v>
      </c>
      <c r="C99" s="20">
        <v>530640</v>
      </c>
      <c r="D99" s="20">
        <v>7993317</v>
      </c>
    </row>
    <row r="100" spans="1:9">
      <c r="A100" s="8" t="s">
        <v>267</v>
      </c>
    </row>
    <row r="101" spans="1:9">
      <c r="A101" s="8" t="s">
        <v>268</v>
      </c>
      <c r="C101" s="32">
        <f>C98-C99</f>
        <v>8533813</v>
      </c>
      <c r="D101" s="32">
        <f>D98-D99</f>
        <v>10844254</v>
      </c>
      <c r="E101" s="31">
        <f>E102*E17</f>
        <v>16115457.369455021</v>
      </c>
      <c r="F101" s="31">
        <f t="shared" ref="F101:I101" si="119">F102*F17</f>
        <v>22438956.973842021</v>
      </c>
      <c r="G101" s="31">
        <f t="shared" si="119"/>
        <v>29079700.999875836</v>
      </c>
      <c r="H101" s="31">
        <f t="shared" si="119"/>
        <v>43442883.497451283</v>
      </c>
      <c r="I101" s="31">
        <f t="shared" si="119"/>
        <v>52073733.237268865</v>
      </c>
    </row>
    <row r="102" spans="1:9">
      <c r="A102" s="15" t="s">
        <v>259</v>
      </c>
      <c r="B102" s="25"/>
      <c r="C102" s="25">
        <f t="shared" ref="C102" si="120">C101/C$17</f>
        <v>24.037555630668695</v>
      </c>
      <c r="D102" s="25">
        <f>D101/D$17</f>
        <v>14.022059270388985</v>
      </c>
      <c r="E102" s="22">
        <f>D102</f>
        <v>14.022059270388985</v>
      </c>
      <c r="F102" s="22">
        <f t="shared" ref="F102:I102" si="121">E102</f>
        <v>14.022059270388985</v>
      </c>
      <c r="G102" s="22">
        <f t="shared" si="121"/>
        <v>14.022059270388985</v>
      </c>
      <c r="H102" s="22">
        <f t="shared" si="121"/>
        <v>14.022059270388985</v>
      </c>
      <c r="I102" s="22">
        <f t="shared" si="121"/>
        <v>14.022059270388985</v>
      </c>
    </row>
    <row r="103" spans="1:9">
      <c r="A103" s="15"/>
      <c r="B103" s="25"/>
      <c r="C103" s="25"/>
      <c r="D103" s="25"/>
      <c r="E103" s="22"/>
      <c r="F103" s="22"/>
      <c r="G103" s="22"/>
      <c r="H103" s="22"/>
      <c r="I103" s="22"/>
    </row>
    <row r="104" spans="1:9">
      <c r="A104" s="8" t="s">
        <v>270</v>
      </c>
      <c r="C104" s="20">
        <v>111873</v>
      </c>
      <c r="D104" s="20">
        <v>170104</v>
      </c>
    </row>
    <row r="105" spans="1:9">
      <c r="A105" s="8" t="s">
        <v>269</v>
      </c>
      <c r="D105" s="32">
        <f>D104-C104+D90</f>
        <v>209591</v>
      </c>
      <c r="E105" s="32">
        <f>E106*E$17</f>
        <v>252788.59757192858</v>
      </c>
      <c r="F105" s="32">
        <f t="shared" ref="F105:I105" si="122">F106*F$17</f>
        <v>351979.61400373169</v>
      </c>
      <c r="G105" s="32">
        <f t="shared" si="122"/>
        <v>456146.9566171061</v>
      </c>
      <c r="H105" s="32">
        <f t="shared" si="122"/>
        <v>681449.20383185905</v>
      </c>
      <c r="I105" s="32">
        <f t="shared" si="122"/>
        <v>816833.53401648311</v>
      </c>
    </row>
    <row r="106" spans="1:9">
      <c r="A106" s="15" t="s">
        <v>259</v>
      </c>
      <c r="B106" s="25"/>
      <c r="C106" s="25">
        <f>C104/C$17</f>
        <v>0.3151174581713706</v>
      </c>
      <c r="D106" s="25">
        <f>D104/D$17</f>
        <v>0.21995135581758302</v>
      </c>
      <c r="E106" s="22">
        <f>D106</f>
        <v>0.21995135581758302</v>
      </c>
      <c r="F106" s="22">
        <f t="shared" ref="F106:I106" si="123">E106</f>
        <v>0.21995135581758302</v>
      </c>
      <c r="G106" s="22">
        <f t="shared" si="123"/>
        <v>0.21995135581758302</v>
      </c>
      <c r="H106" s="22">
        <f t="shared" si="123"/>
        <v>0.21995135581758302</v>
      </c>
      <c r="I106" s="22">
        <f t="shared" si="123"/>
        <v>0.21995135581758302</v>
      </c>
    </row>
    <row r="108" spans="1:9">
      <c r="A108" s="8" t="s">
        <v>271</v>
      </c>
      <c r="B108" s="32">
        <f>B95</f>
        <v>-54496</v>
      </c>
      <c r="C108" s="32">
        <f t="shared" ref="C108:I108" si="124">C95</f>
        <v>-144663</v>
      </c>
      <c r="D108" s="32">
        <f t="shared" si="124"/>
        <v>130122</v>
      </c>
      <c r="E108" s="32">
        <f t="shared" si="124"/>
        <v>347765.89745675493</v>
      </c>
      <c r="F108" s="32">
        <f t="shared" si="124"/>
        <v>609948.40682433057</v>
      </c>
      <c r="G108" s="32">
        <f t="shared" si="124"/>
        <v>885284.38242957648</v>
      </c>
      <c r="H108" s="32">
        <f t="shared" si="124"/>
        <v>1480805.132854898</v>
      </c>
      <c r="I108" s="32">
        <f t="shared" si="124"/>
        <v>1838654.1064185207</v>
      </c>
    </row>
    <row r="109" spans="1:9">
      <c r="A109" s="8" t="s">
        <v>272</v>
      </c>
      <c r="B109" s="32">
        <f>B73</f>
        <v>104468</v>
      </c>
      <c r="C109" s="32">
        <f t="shared" ref="C109:I109" si="125">C73</f>
        <v>-2760</v>
      </c>
      <c r="D109" s="32">
        <f t="shared" si="125"/>
        <v>-1686</v>
      </c>
      <c r="E109" s="32">
        <f t="shared" si="125"/>
        <v>-604.69148999999743</v>
      </c>
      <c r="F109" s="32">
        <f t="shared" si="125"/>
        <v>165.1140870000003</v>
      </c>
      <c r="G109" s="32">
        <f t="shared" si="125"/>
        <v>256.50436902000104</v>
      </c>
      <c r="H109" s="32">
        <f t="shared" si="125"/>
        <v>4891.6572199523916</v>
      </c>
      <c r="I109" s="32">
        <f t="shared" si="125"/>
        <v>5037.2096226827243</v>
      </c>
    </row>
    <row r="110" spans="1:9">
      <c r="A110" s="8" t="s">
        <v>273</v>
      </c>
      <c r="B110" s="8">
        <f>B105</f>
        <v>0</v>
      </c>
      <c r="C110" s="8">
        <f t="shared" ref="C110:I110" si="126">C105</f>
        <v>0</v>
      </c>
      <c r="D110" s="8">
        <f t="shared" si="126"/>
        <v>209591</v>
      </c>
      <c r="E110" s="8">
        <f t="shared" si="126"/>
        <v>252788.59757192858</v>
      </c>
      <c r="F110" s="8">
        <f t="shared" si="126"/>
        <v>351979.61400373169</v>
      </c>
      <c r="G110" s="8">
        <f t="shared" si="126"/>
        <v>456146.9566171061</v>
      </c>
      <c r="H110" s="8">
        <f t="shared" si="126"/>
        <v>681449.20383185905</v>
      </c>
      <c r="I110" s="8">
        <f t="shared" si="126"/>
        <v>816833.53401648311</v>
      </c>
    </row>
    <row r="111" spans="1:9">
      <c r="A111" s="8" t="s">
        <v>274</v>
      </c>
      <c r="C111" s="32"/>
      <c r="D111" s="32">
        <f>-(D101-C101)</f>
        <v>-2310441</v>
      </c>
      <c r="E111" s="32">
        <f t="shared" ref="D111:I111" si="127">-(E101-D101)</f>
        <v>-5271203.3694550209</v>
      </c>
      <c r="F111" s="32">
        <f t="shared" si="127"/>
        <v>-6323499.6043870002</v>
      </c>
      <c r="G111" s="32">
        <f t="shared" si="127"/>
        <v>-6640744.026033815</v>
      </c>
      <c r="H111" s="32">
        <f t="shared" si="127"/>
        <v>-14363182.497575447</v>
      </c>
      <c r="I111" s="32">
        <f t="shared" si="127"/>
        <v>-8630849.7398175821</v>
      </c>
    </row>
    <row r="113" spans="1:10">
      <c r="A113" s="8" t="s">
        <v>275</v>
      </c>
      <c r="B113" s="32"/>
      <c r="C113" s="32"/>
      <c r="D113" s="32">
        <f t="shared" ref="C113:I113" si="128">D108-D109-D110-D111</f>
        <v>2232658</v>
      </c>
      <c r="E113" s="32">
        <f t="shared" si="128"/>
        <v>5366785.3608298469</v>
      </c>
      <c r="F113" s="32">
        <f t="shared" si="128"/>
        <v>6581303.2831205986</v>
      </c>
      <c r="G113" s="32">
        <f t="shared" si="128"/>
        <v>7069624.9474772653</v>
      </c>
      <c r="H113" s="32">
        <f t="shared" si="128"/>
        <v>15157646.769378534</v>
      </c>
      <c r="I113" s="32">
        <f t="shared" si="128"/>
        <v>9647633.1025969367</v>
      </c>
      <c r="J113" s="8">
        <f>I113*(1+B118)/(B119-B118)</f>
        <v>141958029.93821204</v>
      </c>
    </row>
    <row r="115" spans="1:10">
      <c r="A115" s="8" t="s">
        <v>278</v>
      </c>
      <c r="D115" s="32">
        <f>D113</f>
        <v>2232658</v>
      </c>
      <c r="E115" s="32">
        <f t="shared" ref="E115:H115" si="129">E113</f>
        <v>5366785.3608298469</v>
      </c>
      <c r="F115" s="32">
        <f t="shared" si="129"/>
        <v>6581303.2831205986</v>
      </c>
      <c r="G115" s="32">
        <f t="shared" si="129"/>
        <v>7069624.9474772653</v>
      </c>
      <c r="H115" s="32">
        <f t="shared" si="129"/>
        <v>15157646.769378534</v>
      </c>
      <c r="I115" s="32">
        <f>I113+J113</f>
        <v>151605663.04080898</v>
      </c>
    </row>
    <row r="118" spans="1:10">
      <c r="A118" s="8" t="s">
        <v>276</v>
      </c>
      <c r="B118" s="24">
        <v>0.03</v>
      </c>
    </row>
    <row r="119" spans="1:10">
      <c r="A119" s="8" t="s">
        <v>277</v>
      </c>
      <c r="B119" s="24">
        <v>0.1</v>
      </c>
    </row>
    <row r="121" spans="1:10">
      <c r="A121" s="8" t="s">
        <v>279</v>
      </c>
      <c r="B121" s="31">
        <f>NPV(B119,E115:I115)</f>
        <v>120117568.83856498</v>
      </c>
    </row>
    <row r="122" spans="1:10">
      <c r="A122" s="8" t="s">
        <v>280</v>
      </c>
      <c r="B122" s="5">
        <v>5485882</v>
      </c>
    </row>
    <row r="123" spans="1:10">
      <c r="A123" s="8" t="s">
        <v>281</v>
      </c>
      <c r="B123" s="8">
        <v>1846302</v>
      </c>
    </row>
    <row r="125" spans="1:10">
      <c r="A125" s="8" t="s">
        <v>282</v>
      </c>
      <c r="B125" s="31">
        <f>B121-B122+B123</f>
        <v>116477988.83856498</v>
      </c>
    </row>
    <row r="126" spans="1:10">
      <c r="A126" s="8" t="s">
        <v>283</v>
      </c>
      <c r="B126" s="5">
        <v>900886</v>
      </c>
    </row>
    <row r="127" spans="1:10">
      <c r="A127" s="33"/>
      <c r="B127" s="33"/>
    </row>
    <row r="128" spans="1:10">
      <c r="A128" s="35" t="s">
        <v>284</v>
      </c>
      <c r="B128" s="36">
        <f>B125/B126</f>
        <v>129.29270611216623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 flows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2023-07-29T15:29:21Z</dcterms:created>
  <dcterms:modified xsi:type="dcterms:W3CDTF">2023-07-29T23:24:19Z</dcterms:modified>
</cp:coreProperties>
</file>