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sh/Desktop/"/>
    </mc:Choice>
  </mc:AlternateContent>
  <xr:revisionPtr revIDLastSave="0" documentId="13_ncr:1_{9538215A-2EB5-D34C-B2A9-4087FF5A1479}" xr6:coauthVersionLast="45" xr6:coauthVersionMax="45" xr10:uidLastSave="{00000000-0000-0000-0000-000000000000}"/>
  <bookViews>
    <workbookView xWindow="0" yWindow="0" windowWidth="25600" windowHeight="16000" xr2:uid="{843858B8-E0B6-6B46-8788-273FED26B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1" i="1" l="1"/>
  <c r="E31" i="1"/>
  <c r="F31" i="1"/>
  <c r="G31" i="1"/>
  <c r="H31" i="1"/>
  <c r="C31" i="1"/>
  <c r="S7" i="1"/>
  <c r="T7" i="1" s="1"/>
  <c r="U7" i="1" s="1"/>
  <c r="V7" i="1" s="1"/>
  <c r="W7" i="1" s="1"/>
  <c r="E12" i="1"/>
  <c r="E13" i="1"/>
  <c r="B84" i="1"/>
  <c r="B85" i="1"/>
  <c r="C85" i="1"/>
  <c r="B86" i="1"/>
  <c r="B87" i="1"/>
  <c r="B88" i="1"/>
  <c r="B89" i="1"/>
  <c r="C8" i="1"/>
  <c r="C60" i="1" s="1"/>
  <c r="C61" i="1" s="1"/>
  <c r="C9" i="1"/>
  <c r="C69" i="1" s="1"/>
  <c r="B51" i="1"/>
  <c r="B50" i="1"/>
  <c r="B79" i="1" s="1"/>
  <c r="C33" i="1"/>
  <c r="C27" i="1"/>
  <c r="C22" i="1"/>
  <c r="C24" i="1" s="1"/>
  <c r="D19" i="1"/>
  <c r="D27" i="1" s="1"/>
  <c r="C30" i="1" l="1"/>
  <c r="D33" i="1"/>
  <c r="D53" i="1" s="1"/>
  <c r="E19" i="1"/>
  <c r="D22" i="1"/>
  <c r="D24" i="1" s="1"/>
  <c r="D30" i="1" s="1"/>
  <c r="D49" i="1" s="1"/>
  <c r="C36" i="1" l="1"/>
  <c r="C39" i="1" s="1"/>
  <c r="C41" i="1" s="1"/>
  <c r="C44" i="1" s="1"/>
  <c r="C45" i="1" s="1"/>
  <c r="C5" i="1"/>
  <c r="C7" i="1" s="1"/>
  <c r="D36" i="1"/>
  <c r="E33" i="1"/>
  <c r="E53" i="1" s="1"/>
  <c r="E27" i="1"/>
  <c r="E22" i="1"/>
  <c r="E24" i="1" s="1"/>
  <c r="F19" i="1"/>
  <c r="G6" i="1" l="1"/>
  <c r="C70" i="1" s="1"/>
  <c r="C72" i="1" s="1"/>
  <c r="D68" i="1" s="1"/>
  <c r="L8" i="1"/>
  <c r="E30" i="1"/>
  <c r="F33" i="1"/>
  <c r="F53" i="1" s="1"/>
  <c r="G19" i="1"/>
  <c r="F27" i="1"/>
  <c r="F22" i="1"/>
  <c r="F24" i="1" s="1"/>
  <c r="E36" i="1" l="1"/>
  <c r="E49" i="1"/>
  <c r="G33" i="1"/>
  <c r="G53" i="1" s="1"/>
  <c r="F30" i="1"/>
  <c r="H19" i="1"/>
  <c r="G27" i="1"/>
  <c r="G22" i="1"/>
  <c r="G24" i="1" s="1"/>
  <c r="F36" i="1" l="1"/>
  <c r="F49" i="1"/>
  <c r="G30" i="1"/>
  <c r="H33" i="1"/>
  <c r="H53" i="1" s="1"/>
  <c r="H27" i="1"/>
  <c r="H22" i="1"/>
  <c r="H24" i="1" s="1"/>
  <c r="G36" i="1" l="1"/>
  <c r="G49" i="1"/>
  <c r="H30" i="1"/>
  <c r="C84" i="1" s="1"/>
  <c r="C86" i="1" s="1"/>
  <c r="H36" i="1" l="1"/>
  <c r="H49" i="1"/>
  <c r="L7" i="1" l="1"/>
  <c r="C10" i="1"/>
  <c r="L6" i="1" s="1"/>
  <c r="D59" i="1"/>
  <c r="L10" i="1" l="1"/>
  <c r="G10" i="1" s="1"/>
  <c r="G7" i="1" s="1"/>
  <c r="C91" i="1" s="1"/>
  <c r="F39" i="1"/>
  <c r="F41" i="1" s="1"/>
  <c r="F51" i="1" s="1"/>
  <c r="F54" i="1" s="1"/>
  <c r="E39" i="1"/>
  <c r="E41" i="1" s="1"/>
  <c r="E51" i="1" s="1"/>
  <c r="E54" i="1" s="1"/>
  <c r="H39" i="1"/>
  <c r="G39" i="1"/>
  <c r="H41" i="1" l="1"/>
  <c r="H51" i="1" s="1"/>
  <c r="H54" i="1" s="1"/>
  <c r="E44" i="1"/>
  <c r="E45" i="1" s="1"/>
  <c r="G41" i="1"/>
  <c r="G51" i="1" s="1"/>
  <c r="G54" i="1" s="1"/>
  <c r="F44" i="1"/>
  <c r="F45" i="1" s="1"/>
  <c r="H44" i="1" l="1"/>
  <c r="H45" i="1" s="1"/>
  <c r="G44" i="1"/>
  <c r="G45" i="1" s="1"/>
  <c r="D39" i="1"/>
  <c r="D41" i="1" s="1"/>
  <c r="D51" i="1" l="1"/>
  <c r="D54" i="1" s="1"/>
  <c r="D44" i="1"/>
  <c r="D45" i="1" s="1"/>
  <c r="D71" i="1" l="1"/>
  <c r="D72" i="1" l="1"/>
  <c r="D56" i="1"/>
  <c r="D57" i="1" s="1"/>
  <c r="D61" i="1" s="1"/>
  <c r="E59" i="1" s="1"/>
  <c r="D77" i="1"/>
  <c r="E68" i="1"/>
  <c r="D64" i="1" l="1"/>
  <c r="E71" i="1"/>
  <c r="E56" i="1" s="1"/>
  <c r="E57" i="1" s="1"/>
  <c r="E61" i="1" s="1"/>
  <c r="F59" i="1" s="1"/>
  <c r="D79" i="1"/>
  <c r="E72" i="1" l="1"/>
  <c r="E77" i="1" s="1"/>
  <c r="F68" i="1"/>
  <c r="E64" i="1"/>
  <c r="E79" i="1" l="1"/>
  <c r="F71" i="1"/>
  <c r="F72" i="1" l="1"/>
  <c r="G68" i="1" s="1"/>
  <c r="F56" i="1"/>
  <c r="F57" i="1" s="1"/>
  <c r="F61" i="1" s="1"/>
  <c r="F77" i="1"/>
  <c r="G59" i="1" l="1"/>
  <c r="F64" i="1"/>
  <c r="F79" i="1" s="1"/>
  <c r="G71" i="1"/>
  <c r="G56" i="1" s="1"/>
  <c r="G57" i="1" s="1"/>
  <c r="G72" i="1"/>
  <c r="G61" i="1" l="1"/>
  <c r="H59" i="1" s="1"/>
  <c r="H68" i="1"/>
  <c r="G77" i="1"/>
  <c r="G64" i="1" l="1"/>
  <c r="G79" i="1" s="1"/>
  <c r="H71" i="1"/>
  <c r="H72" i="1" l="1"/>
  <c r="H56" i="1"/>
  <c r="H57" i="1" s="1"/>
  <c r="H61" i="1" s="1"/>
  <c r="H77" i="1" l="1"/>
  <c r="C88" i="1"/>
  <c r="C87" i="1"/>
  <c r="H64" i="1"/>
  <c r="C89" i="1" l="1"/>
  <c r="H91" i="1" s="1"/>
  <c r="H79" i="1"/>
  <c r="C94" i="1"/>
  <c r="G13" i="1" s="1"/>
  <c r="Q7" i="1" s="1"/>
  <c r="C93" i="1"/>
  <c r="G12" i="1" s="1"/>
</calcChain>
</file>

<file path=xl/sharedStrings.xml><?xml version="1.0" encoding="utf-8"?>
<sst xmlns="http://schemas.openxmlformats.org/spreadsheetml/2006/main" count="71" uniqueCount="62">
  <si>
    <t xml:space="preserve">Purchase Assumptions </t>
  </si>
  <si>
    <t>Income Statement</t>
  </si>
  <si>
    <t xml:space="preserve">Cash Flow Statement </t>
  </si>
  <si>
    <t xml:space="preserve">Debt Schedule </t>
  </si>
  <si>
    <t xml:space="preserve">Returns </t>
  </si>
  <si>
    <t>Revenue</t>
  </si>
  <si>
    <t>COGS</t>
  </si>
  <si>
    <t xml:space="preserve">  % Margin</t>
  </si>
  <si>
    <t>SG&amp;A</t>
  </si>
  <si>
    <t>Growth %</t>
  </si>
  <si>
    <t>Gross Profit</t>
  </si>
  <si>
    <t>D&amp;A</t>
  </si>
  <si>
    <t>EBIT</t>
  </si>
  <si>
    <t xml:space="preserve">Pre Tax Income </t>
  </si>
  <si>
    <t>Taxes</t>
  </si>
  <si>
    <t xml:space="preserve">Tax rate </t>
  </si>
  <si>
    <t xml:space="preserve">Net Income </t>
  </si>
  <si>
    <t xml:space="preserve">Margin </t>
  </si>
  <si>
    <t>EBITDA</t>
  </si>
  <si>
    <t>Interest Expense, Net</t>
  </si>
  <si>
    <t>Working Capital Changes</t>
  </si>
  <si>
    <t>Capex</t>
  </si>
  <si>
    <t>FCF</t>
  </si>
  <si>
    <t xml:space="preserve"> </t>
  </si>
  <si>
    <t>Debt Repayment</t>
  </si>
  <si>
    <t>Net Cash Flow</t>
  </si>
  <si>
    <t>Cash, Beg</t>
  </si>
  <si>
    <t xml:space="preserve">Cash, End </t>
  </si>
  <si>
    <t xml:space="preserve">assume no working capital </t>
  </si>
  <si>
    <t>assume capex is equal to d&amp;a</t>
  </si>
  <si>
    <t>Beg</t>
  </si>
  <si>
    <t>Sweep</t>
  </si>
  <si>
    <t>End</t>
  </si>
  <si>
    <t>Sweep % of FCF</t>
  </si>
  <si>
    <t>Interest Rate</t>
  </si>
  <si>
    <t>Interest Expense</t>
  </si>
  <si>
    <t>Interest Income</t>
  </si>
  <si>
    <t>LTM EBITDA</t>
  </si>
  <si>
    <t>EBITDAx</t>
  </si>
  <si>
    <t>TEV</t>
  </si>
  <si>
    <t xml:space="preserve">Cash </t>
  </si>
  <si>
    <t>Debt</t>
  </si>
  <si>
    <t>Equity Value</t>
  </si>
  <si>
    <t xml:space="preserve">Sources </t>
  </si>
  <si>
    <t>Uses</t>
  </si>
  <si>
    <t>New Debt</t>
  </si>
  <si>
    <t>New Equity</t>
  </si>
  <si>
    <t>Total</t>
  </si>
  <si>
    <t>Purchase Equity</t>
  </si>
  <si>
    <t>Tx Costs</t>
  </si>
  <si>
    <t>Tx Costs % of TEV</t>
  </si>
  <si>
    <t xml:space="preserve">Repay Exisiting Net Debt </t>
  </si>
  <si>
    <t>Txn Use</t>
  </si>
  <si>
    <t>Txn Repayment</t>
  </si>
  <si>
    <t>Equity Flows</t>
  </si>
  <si>
    <t>Exit Value @ Year 5</t>
  </si>
  <si>
    <t xml:space="preserve">CoC x </t>
  </si>
  <si>
    <t>IRR</t>
  </si>
  <si>
    <t xml:space="preserve">- assume exit multiple equal to entry multiple </t>
  </si>
  <si>
    <t>Purchase Multiple</t>
  </si>
  <si>
    <t>Leverage Multiple</t>
  </si>
  <si>
    <t>IRR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</si>
</sst>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"/>
    <numFmt numFmtId="167" formatCode="&quot;$&quot;#,##0.0_);[Red]\(&quot;$&quot;#,##0.0\)"/>
    <numFmt numFmtId="168" formatCode="0.00\x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4"/>
      <name val="Times New Roman"/>
      <family val="1"/>
    </font>
    <font>
      <sz val="12"/>
      <name val="Times New Roman"/>
      <family val="1"/>
    </font>
    <font>
      <sz val="12"/>
      <color rgb="FF0070C0"/>
      <name val="Times New Roman"/>
      <family val="1"/>
    </font>
    <font>
      <b/>
      <u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9" fontId="4" fillId="0" borderId="0" xfId="0" applyNumberFormat="1" applyFont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2" xfId="0" applyNumberFormat="1" applyFont="1" applyBorder="1"/>
    <xf numFmtId="164" fontId="1" fillId="0" borderId="0" xfId="0" applyNumberFormat="1" applyFont="1" applyAlignment="1">
      <alignment horizontal="center"/>
    </xf>
    <xf numFmtId="167" fontId="5" fillId="0" borderId="2" xfId="0" applyNumberFormat="1" applyFont="1" applyBorder="1" applyAlignment="1">
      <alignment horizontal="center"/>
    </xf>
    <xf numFmtId="167" fontId="1" fillId="0" borderId="2" xfId="0" applyNumberFormat="1" applyFont="1" applyBorder="1"/>
    <xf numFmtId="167" fontId="1" fillId="0" borderId="0" xfId="0" applyNumberFormat="1" applyFont="1"/>
    <xf numFmtId="9" fontId="3" fillId="0" borderId="0" xfId="0" applyNumberFormat="1" applyFont="1"/>
    <xf numFmtId="164" fontId="1" fillId="0" borderId="0" xfId="0" applyNumberFormat="1" applyFont="1"/>
    <xf numFmtId="0" fontId="6" fillId="0" borderId="0" xfId="0" applyFont="1"/>
    <xf numFmtId="168" fontId="6" fillId="0" borderId="0" xfId="0" applyNumberFormat="1" applyFont="1"/>
    <xf numFmtId="8" fontId="1" fillId="0" borderId="0" xfId="0" applyNumberFormat="1" applyFont="1"/>
    <xf numFmtId="8" fontId="6" fillId="0" borderId="0" xfId="0" applyNumberFormat="1" applyFont="1"/>
    <xf numFmtId="2" fontId="1" fillId="0" borderId="0" xfId="0" applyNumberFormat="1" applyFont="1"/>
    <xf numFmtId="0" fontId="7" fillId="0" borderId="0" xfId="0" applyFont="1"/>
    <xf numFmtId="168" fontId="8" fillId="0" borderId="0" xfId="0" applyNumberFormat="1" applyFont="1"/>
    <xf numFmtId="9" fontId="2" fillId="0" borderId="0" xfId="0" applyNumberFormat="1" applyFont="1"/>
    <xf numFmtId="0" fontId="9" fillId="2" borderId="3" xfId="0" applyFont="1" applyFill="1" applyBorder="1"/>
    <xf numFmtId="0" fontId="1" fillId="2" borderId="2" xfId="0" applyFont="1" applyFill="1" applyBorder="1"/>
    <xf numFmtId="168" fontId="8" fillId="2" borderId="4" xfId="0" applyNumberFormat="1" applyFont="1" applyFill="1" applyBorder="1"/>
    <xf numFmtId="0" fontId="9" fillId="2" borderId="5" xfId="0" applyFont="1" applyFill="1" applyBorder="1"/>
    <xf numFmtId="0" fontId="1" fillId="2" borderId="1" xfId="0" applyFont="1" applyFill="1" applyBorder="1"/>
    <xf numFmtId="9" fontId="2" fillId="2" borderId="6" xfId="0" applyNumberFormat="1" applyFont="1" applyFill="1" applyBorder="1"/>
    <xf numFmtId="0" fontId="1" fillId="0" borderId="0" xfId="0" quotePrefix="1" applyFont="1"/>
    <xf numFmtId="168" fontId="5" fillId="0" borderId="7" xfId="0" applyNumberFormat="1" applyFont="1" applyFill="1" applyBorder="1"/>
    <xf numFmtId="9" fontId="10" fillId="0" borderId="0" xfId="0" applyNumberFormat="1" applyFont="1"/>
    <xf numFmtId="168" fontId="5" fillId="0" borderId="1" xfId="0" applyNumberFormat="1" applyFont="1" applyFill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8" fontId="1" fillId="0" borderId="2" xfId="0" applyNumberFormat="1" applyFont="1" applyBorder="1"/>
    <xf numFmtId="8" fontId="2" fillId="0" borderId="2" xfId="0" applyNumberFormat="1" applyFont="1" applyBorder="1"/>
    <xf numFmtId="167" fontId="2" fillId="0" borderId="2" xfId="0" applyNumberFormat="1" applyFont="1" applyBorder="1"/>
    <xf numFmtId="0" fontId="2" fillId="0" borderId="0" xfId="0" applyFont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0" borderId="11" xfId="0" applyFont="1" applyBorder="1"/>
    <xf numFmtId="168" fontId="6" fillId="0" borderId="0" xfId="0" applyNumberFormat="1" applyFont="1" applyBorder="1"/>
    <xf numFmtId="8" fontId="1" fillId="0" borderId="7" xfId="0" applyNumberFormat="1" applyFont="1" applyBorder="1"/>
    <xf numFmtId="0" fontId="1" fillId="0" borderId="7" xfId="0" applyFont="1" applyBorder="1"/>
    <xf numFmtId="0" fontId="2" fillId="0" borderId="5" xfId="0" applyFont="1" applyBorder="1"/>
    <xf numFmtId="0" fontId="2" fillId="0" borderId="1" xfId="0" applyFont="1" applyBorder="1"/>
    <xf numFmtId="8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E69B-C8C9-F647-ADB5-E6DC92D518EE}">
  <dimension ref="A3:W94"/>
  <sheetViews>
    <sheetView showGridLines="0" tabSelected="1" topLeftCell="A75" workbookViewId="0">
      <selection activeCell="E92" sqref="E92"/>
    </sheetView>
  </sheetViews>
  <sheetFormatPr baseColWidth="10" defaultRowHeight="16" x14ac:dyDescent="0.2"/>
  <cols>
    <col min="1" max="1" width="1.33203125" style="1" customWidth="1"/>
    <col min="2" max="2" width="26.83203125" style="1" customWidth="1"/>
    <col min="3" max="16384" width="10.83203125" style="1"/>
  </cols>
  <sheetData>
    <row r="3" spans="1:23" x14ac:dyDescent="0.2">
      <c r="A3" s="39" t="s">
        <v>0</v>
      </c>
      <c r="B3" s="40"/>
      <c r="C3" s="40"/>
      <c r="D3" s="40"/>
      <c r="E3" s="40"/>
      <c r="F3" s="40"/>
      <c r="G3" s="40"/>
      <c r="H3" s="40"/>
    </row>
    <row r="4" spans="1:23" x14ac:dyDescent="0.2">
      <c r="A4" s="38"/>
      <c r="B4" s="9"/>
      <c r="C4" s="9"/>
      <c r="D4" s="9"/>
      <c r="E4" s="9"/>
      <c r="F4" s="9"/>
      <c r="G4" s="9"/>
      <c r="H4" s="9"/>
    </row>
    <row r="5" spans="1:23" x14ac:dyDescent="0.2">
      <c r="B5" s="1" t="s">
        <v>37</v>
      </c>
      <c r="C5" s="15">
        <f>C30</f>
        <v>28</v>
      </c>
      <c r="E5" s="45" t="s">
        <v>43</v>
      </c>
      <c r="F5" s="46"/>
      <c r="G5" s="47"/>
      <c r="J5" s="45" t="s">
        <v>44</v>
      </c>
      <c r="K5" s="46"/>
      <c r="L5" s="47"/>
      <c r="N5" s="39" t="s">
        <v>61</v>
      </c>
      <c r="O5" s="39"/>
      <c r="P5" s="39"/>
      <c r="Q5" s="39"/>
      <c r="R5" s="39"/>
      <c r="S5" s="39"/>
      <c r="T5" s="39"/>
      <c r="U5" s="39"/>
      <c r="V5" s="39"/>
      <c r="W5" s="39"/>
    </row>
    <row r="6" spans="1:23" x14ac:dyDescent="0.2">
      <c r="B6" s="1" t="s">
        <v>38</v>
      </c>
      <c r="C6" s="19">
        <v>5</v>
      </c>
      <c r="E6" s="48" t="s">
        <v>45</v>
      </c>
      <c r="F6" s="49">
        <v>3</v>
      </c>
      <c r="G6" s="50">
        <f>F6*C5</f>
        <v>84</v>
      </c>
      <c r="J6" s="48" t="s">
        <v>48</v>
      </c>
      <c r="K6" s="9"/>
      <c r="L6" s="50">
        <f>C10</f>
        <v>130</v>
      </c>
      <c r="R6" s="44" t="s">
        <v>60</v>
      </c>
      <c r="S6" s="44"/>
      <c r="T6" s="44"/>
      <c r="U6" s="44"/>
      <c r="V6" s="44"/>
      <c r="W6" s="44"/>
    </row>
    <row r="7" spans="1:23" x14ac:dyDescent="0.2">
      <c r="B7" s="1" t="s">
        <v>39</v>
      </c>
      <c r="C7" s="15">
        <f>C5*C6</f>
        <v>140</v>
      </c>
      <c r="E7" s="48" t="s">
        <v>46</v>
      </c>
      <c r="F7" s="9"/>
      <c r="G7" s="50">
        <f>G10-G6</f>
        <v>57.400000000000006</v>
      </c>
      <c r="J7" s="48" t="s">
        <v>51</v>
      </c>
      <c r="K7" s="9"/>
      <c r="L7" s="50">
        <f>-C9-C8</f>
        <v>10</v>
      </c>
      <c r="Q7" s="34">
        <f>G13</f>
        <v>0.34745356008205652</v>
      </c>
      <c r="R7" s="35">
        <v>1</v>
      </c>
      <c r="S7" s="35">
        <f>R7+0.5</f>
        <v>1.5</v>
      </c>
      <c r="T7" s="35">
        <f t="shared" ref="T7:W7" si="0">S7+0.5</f>
        <v>2</v>
      </c>
      <c r="U7" s="35">
        <f t="shared" si="0"/>
        <v>2.5</v>
      </c>
      <c r="V7" s="35">
        <f t="shared" si="0"/>
        <v>3</v>
      </c>
      <c r="W7" s="35">
        <f t="shared" si="0"/>
        <v>3.5</v>
      </c>
    </row>
    <row r="8" spans="1:23" x14ac:dyDescent="0.2">
      <c r="B8" s="1" t="s">
        <v>40</v>
      </c>
      <c r="C8" s="1">
        <f>C59</f>
        <v>10</v>
      </c>
      <c r="E8" s="48"/>
      <c r="F8" s="9"/>
      <c r="G8" s="51"/>
      <c r="J8" s="48" t="s">
        <v>49</v>
      </c>
      <c r="K8" s="9"/>
      <c r="L8" s="50">
        <f>C12*C7</f>
        <v>1.4000000000000001</v>
      </c>
      <c r="Q8" s="33">
        <v>5</v>
      </c>
      <c r="R8" s="36">
        <f t="dataTable" ref="R8:W13" dt2D="1" dtr="1" r1="F6" r2="C6"/>
        <v>0.22354444492378822</v>
      </c>
      <c r="S8" s="36">
        <v>0.24469755833423812</v>
      </c>
      <c r="T8" s="36">
        <v>0.27073512371395947</v>
      </c>
      <c r="U8" s="36">
        <v>0.30376578345183014</v>
      </c>
      <c r="V8" s="36">
        <v>0.34745356008205652</v>
      </c>
      <c r="W8" s="36">
        <v>0.4089413745287207</v>
      </c>
    </row>
    <row r="9" spans="1:23" x14ac:dyDescent="0.2">
      <c r="B9" s="1" t="s">
        <v>41</v>
      </c>
      <c r="C9" s="1">
        <f>-C68</f>
        <v>-20</v>
      </c>
      <c r="E9" s="48"/>
      <c r="F9" s="9"/>
      <c r="G9" s="51"/>
      <c r="J9" s="48"/>
      <c r="K9" s="9"/>
      <c r="L9" s="51"/>
      <c r="Q9" s="33">
        <v>6</v>
      </c>
      <c r="R9" s="36">
        <v>0.20238293327153678</v>
      </c>
      <c r="S9" s="36">
        <v>0.21785547734306943</v>
      </c>
      <c r="T9" s="36">
        <v>0.23610028862793686</v>
      </c>
      <c r="U9" s="36">
        <v>0.25800039675990827</v>
      </c>
      <c r="V9" s="36">
        <v>0.28488891238362202</v>
      </c>
      <c r="W9" s="36">
        <v>0.3188994051159455</v>
      </c>
    </row>
    <row r="10" spans="1:23" x14ac:dyDescent="0.2">
      <c r="B10" s="1" t="s">
        <v>42</v>
      </c>
      <c r="C10" s="15">
        <f>C7+C8+C9</f>
        <v>130</v>
      </c>
      <c r="E10" s="52" t="s">
        <v>47</v>
      </c>
      <c r="F10" s="53"/>
      <c r="G10" s="54">
        <f>L10</f>
        <v>141.4</v>
      </c>
      <c r="J10" s="52" t="s">
        <v>47</v>
      </c>
      <c r="K10" s="53"/>
      <c r="L10" s="54">
        <f>L6+L7+L8</f>
        <v>141.4</v>
      </c>
      <c r="O10" s="2" t="s">
        <v>59</v>
      </c>
      <c r="Q10" s="33">
        <v>7</v>
      </c>
      <c r="R10" s="36">
        <v>0.18738847944614889</v>
      </c>
      <c r="S10" s="36">
        <v>0.19942764100827781</v>
      </c>
      <c r="T10" s="36">
        <v>0.21323342947864243</v>
      </c>
      <c r="U10" s="36">
        <v>0.22925289391785042</v>
      </c>
      <c r="V10" s="36">
        <v>0.24810762357747329</v>
      </c>
      <c r="W10" s="36">
        <v>0.27069315648687642</v>
      </c>
    </row>
    <row r="11" spans="1:23" x14ac:dyDescent="0.2">
      <c r="Q11" s="33">
        <v>8</v>
      </c>
      <c r="R11" s="36">
        <v>0.17618871511807432</v>
      </c>
      <c r="S11" s="36">
        <v>0.18595940451685022</v>
      </c>
      <c r="T11" s="36">
        <v>0.19694573790409065</v>
      </c>
      <c r="U11" s="36">
        <v>0.20940327539122183</v>
      </c>
      <c r="V11" s="36">
        <v>0.22366855332353586</v>
      </c>
      <c r="W11" s="36">
        <v>0.24019549503079851</v>
      </c>
    </row>
    <row r="12" spans="1:23" x14ac:dyDescent="0.2">
      <c r="B12" s="1" t="s">
        <v>50</v>
      </c>
      <c r="C12" s="8">
        <v>0.01</v>
      </c>
      <c r="D12" s="8"/>
      <c r="E12" s="26" t="str">
        <f>B93</f>
        <v xml:space="preserve">CoC x </v>
      </c>
      <c r="F12" s="27"/>
      <c r="G12" s="28">
        <f>C93</f>
        <v>4.4419025958188181</v>
      </c>
      <c r="H12" s="8"/>
      <c r="Q12" s="33">
        <v>9</v>
      </c>
      <c r="R12" s="36">
        <v>0.16749633371610728</v>
      </c>
      <c r="S12" s="36">
        <v>0.1756716020848379</v>
      </c>
      <c r="T12" s="36">
        <v>0.18473042626742098</v>
      </c>
      <c r="U12" s="36">
        <v>0.19483181248600889</v>
      </c>
      <c r="V12" s="36">
        <v>0.20617719887246277</v>
      </c>
      <c r="W12" s="36">
        <v>0.21902622985811471</v>
      </c>
    </row>
    <row r="13" spans="1:23" x14ac:dyDescent="0.2">
      <c r="C13" s="8"/>
      <c r="D13" s="8"/>
      <c r="E13" s="29" t="str">
        <f t="shared" ref="E12:F13" si="1">B94</f>
        <v>IRR</v>
      </c>
      <c r="F13" s="30"/>
      <c r="G13" s="31">
        <f>C94</f>
        <v>0.34745356008205652</v>
      </c>
      <c r="H13" s="8"/>
      <c r="M13" s="32" t="s">
        <v>58</v>
      </c>
      <c r="Q13" s="33">
        <v>10</v>
      </c>
      <c r="R13" s="36">
        <v>0.16054984249333715</v>
      </c>
      <c r="S13" s="36">
        <v>0.16754982710278621</v>
      </c>
      <c r="T13" s="36">
        <v>0.17521886063905812</v>
      </c>
      <c r="U13" s="36">
        <v>0.18366225556975779</v>
      </c>
      <c r="V13" s="36">
        <v>0.19300961150206053</v>
      </c>
      <c r="W13" s="36">
        <v>0.20342251496728214</v>
      </c>
    </row>
    <row r="14" spans="1:23" x14ac:dyDescent="0.2">
      <c r="C14" s="8"/>
      <c r="D14" s="8"/>
      <c r="E14" s="8"/>
      <c r="F14" s="8"/>
      <c r="G14" s="8"/>
      <c r="H14" s="8"/>
    </row>
    <row r="15" spans="1:23" x14ac:dyDescent="0.2">
      <c r="A15" s="39" t="s">
        <v>1</v>
      </c>
      <c r="B15" s="40"/>
      <c r="C15" s="40"/>
      <c r="D15" s="40"/>
      <c r="E15" s="40"/>
      <c r="F15" s="40"/>
      <c r="G15" s="40"/>
      <c r="H15" s="40"/>
    </row>
    <row r="16" spans="1:23" x14ac:dyDescent="0.2">
      <c r="A16" s="2"/>
    </row>
    <row r="17" spans="1:8" x14ac:dyDescent="0.2">
      <c r="C17" s="3">
        <v>0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</row>
    <row r="18" spans="1:8" x14ac:dyDescent="0.2">
      <c r="A18" s="2"/>
      <c r="C18" s="4"/>
      <c r="D18" s="4"/>
      <c r="E18" s="4"/>
      <c r="F18" s="4"/>
      <c r="G18" s="4"/>
      <c r="H18" s="4"/>
    </row>
    <row r="19" spans="1:8" x14ac:dyDescent="0.2">
      <c r="B19" s="1" t="s">
        <v>5</v>
      </c>
      <c r="C19" s="5">
        <v>100</v>
      </c>
      <c r="D19" s="6">
        <f>C19*(1+D20)</f>
        <v>110.00000000000001</v>
      </c>
      <c r="E19" s="6">
        <f t="shared" ref="E19:H19" si="2">D19*(1+E20)</f>
        <v>121.00000000000003</v>
      </c>
      <c r="F19" s="6">
        <f t="shared" si="2"/>
        <v>133.10000000000005</v>
      </c>
      <c r="G19" s="6">
        <f t="shared" si="2"/>
        <v>146.41000000000008</v>
      </c>
      <c r="H19" s="6">
        <f t="shared" si="2"/>
        <v>161.0510000000001</v>
      </c>
    </row>
    <row r="20" spans="1:8" s="7" customFormat="1" x14ac:dyDescent="0.2">
      <c r="B20" s="7" t="s">
        <v>9</v>
      </c>
      <c r="C20" s="8"/>
      <c r="D20" s="8">
        <v>0.1</v>
      </c>
      <c r="E20" s="8">
        <v>0.1</v>
      </c>
      <c r="F20" s="8">
        <v>0.1</v>
      </c>
      <c r="G20" s="8">
        <v>0.1</v>
      </c>
      <c r="H20" s="8">
        <v>0.1</v>
      </c>
    </row>
    <row r="21" spans="1:8" x14ac:dyDescent="0.2">
      <c r="C21" s="9"/>
      <c r="D21" s="9"/>
      <c r="E21" s="9"/>
      <c r="F21" s="9"/>
      <c r="G21" s="9"/>
      <c r="H21" s="9"/>
    </row>
    <row r="22" spans="1:8" x14ac:dyDescent="0.2">
      <c r="B22" s="1" t="s">
        <v>6</v>
      </c>
      <c r="C22" s="10">
        <f>-C19*(1-C25)</f>
        <v>-70</v>
      </c>
      <c r="D22" s="10">
        <f t="shared" ref="D22:H22" si="3">-D19*(1-D25)</f>
        <v>-77</v>
      </c>
      <c r="E22" s="10">
        <f t="shared" si="3"/>
        <v>-84.700000000000017</v>
      </c>
      <c r="F22" s="10">
        <f t="shared" si="3"/>
        <v>-93.17000000000003</v>
      </c>
      <c r="G22" s="10">
        <f t="shared" si="3"/>
        <v>-102.48700000000005</v>
      </c>
      <c r="H22" s="10">
        <f t="shared" si="3"/>
        <v>-112.73570000000007</v>
      </c>
    </row>
    <row r="24" spans="1:8" x14ac:dyDescent="0.2">
      <c r="B24" s="1" t="s">
        <v>10</v>
      </c>
      <c r="C24" s="11">
        <f>C19+C22</f>
        <v>30</v>
      </c>
      <c r="D24" s="11">
        <f t="shared" ref="D24:H24" si="4">D19+D22</f>
        <v>33.000000000000014</v>
      </c>
      <c r="E24" s="11">
        <f t="shared" si="4"/>
        <v>36.300000000000011</v>
      </c>
      <c r="F24" s="11">
        <f t="shared" si="4"/>
        <v>39.930000000000021</v>
      </c>
      <c r="G24" s="11">
        <f t="shared" si="4"/>
        <v>43.92300000000003</v>
      </c>
      <c r="H24" s="11">
        <f t="shared" si="4"/>
        <v>48.315300000000036</v>
      </c>
    </row>
    <row r="25" spans="1:8" s="7" customFormat="1" x14ac:dyDescent="0.2">
      <c r="B25" s="7" t="s">
        <v>7</v>
      </c>
      <c r="C25" s="8">
        <v>0.3</v>
      </c>
      <c r="D25" s="8">
        <v>0.3</v>
      </c>
      <c r="E25" s="8">
        <v>0.3</v>
      </c>
      <c r="F25" s="8">
        <v>0.3</v>
      </c>
      <c r="G25" s="8">
        <v>0.3</v>
      </c>
      <c r="H25" s="8">
        <v>0.3</v>
      </c>
    </row>
    <row r="27" spans="1:8" x14ac:dyDescent="0.2">
      <c r="B27" s="1" t="s">
        <v>8</v>
      </c>
      <c r="C27" s="12">
        <f>-C28*C$19</f>
        <v>-2</v>
      </c>
      <c r="D27" s="12">
        <f t="shared" ref="D27:H27" si="5">-D28*D$19</f>
        <v>-2.2000000000000002</v>
      </c>
      <c r="E27" s="12">
        <f t="shared" si="5"/>
        <v>-2.4200000000000008</v>
      </c>
      <c r="F27" s="12">
        <f t="shared" si="5"/>
        <v>-2.6620000000000013</v>
      </c>
      <c r="G27" s="12">
        <f t="shared" si="5"/>
        <v>-2.9282000000000017</v>
      </c>
      <c r="H27" s="12">
        <f t="shared" si="5"/>
        <v>-3.221020000000002</v>
      </c>
    </row>
    <row r="28" spans="1:8" x14ac:dyDescent="0.2">
      <c r="B28" s="7" t="s">
        <v>7</v>
      </c>
      <c r="C28" s="8">
        <v>0.02</v>
      </c>
      <c r="D28" s="8">
        <v>0.02</v>
      </c>
      <c r="E28" s="8">
        <v>0.02</v>
      </c>
      <c r="F28" s="8">
        <v>0.02</v>
      </c>
      <c r="G28" s="8">
        <v>0.02</v>
      </c>
      <c r="H28" s="8">
        <v>0.02</v>
      </c>
    </row>
    <row r="29" spans="1:8" x14ac:dyDescent="0.2">
      <c r="B29" s="7"/>
      <c r="C29" s="8"/>
      <c r="D29" s="8"/>
      <c r="E29" s="8"/>
      <c r="F29" s="8"/>
      <c r="G29" s="8"/>
      <c r="H29" s="8"/>
    </row>
    <row r="30" spans="1:8" x14ac:dyDescent="0.2">
      <c r="B30" s="1" t="s">
        <v>18</v>
      </c>
      <c r="C30" s="13">
        <f>C24+C27</f>
        <v>28</v>
      </c>
      <c r="D30" s="13">
        <f t="shared" ref="D30:H30" si="6">D24+D27</f>
        <v>30.800000000000015</v>
      </c>
      <c r="E30" s="13">
        <f t="shared" si="6"/>
        <v>33.88000000000001</v>
      </c>
      <c r="F30" s="13">
        <f t="shared" si="6"/>
        <v>37.268000000000022</v>
      </c>
      <c r="G30" s="13">
        <f t="shared" si="6"/>
        <v>40.994800000000026</v>
      </c>
      <c r="H30" s="13">
        <f t="shared" si="6"/>
        <v>45.094280000000033</v>
      </c>
    </row>
    <row r="31" spans="1:8" x14ac:dyDescent="0.2">
      <c r="B31" s="7" t="s">
        <v>17</v>
      </c>
      <c r="C31" s="16">
        <f>C30/C19</f>
        <v>0.28000000000000003</v>
      </c>
      <c r="D31" s="16">
        <f t="shared" ref="D31:H31" si="7">D30/D19</f>
        <v>0.28000000000000008</v>
      </c>
      <c r="E31" s="16">
        <f t="shared" si="7"/>
        <v>0.28000000000000003</v>
      </c>
      <c r="F31" s="16">
        <f t="shared" si="7"/>
        <v>0.28000000000000008</v>
      </c>
      <c r="G31" s="16">
        <f t="shared" si="7"/>
        <v>0.28000000000000003</v>
      </c>
      <c r="H31" s="16">
        <f t="shared" si="7"/>
        <v>0.28000000000000003</v>
      </c>
    </row>
    <row r="32" spans="1:8" x14ac:dyDescent="0.2">
      <c r="B32" s="7"/>
      <c r="C32" s="16"/>
      <c r="D32" s="16"/>
      <c r="E32" s="16"/>
      <c r="F32" s="16"/>
      <c r="G32" s="16"/>
      <c r="H32" s="16"/>
    </row>
    <row r="33" spans="1:8" x14ac:dyDescent="0.2">
      <c r="B33" s="1" t="s">
        <v>11</v>
      </c>
      <c r="C33" s="12">
        <f>-C34*C$19</f>
        <v>-2</v>
      </c>
      <c r="D33" s="12">
        <f t="shared" ref="D33" si="8">-D34*D$19</f>
        <v>-2.2000000000000002</v>
      </c>
      <c r="E33" s="12">
        <f t="shared" ref="E33" si="9">-E34*E$19</f>
        <v>-2.4200000000000008</v>
      </c>
      <c r="F33" s="12">
        <f t="shared" ref="F33" si="10">-F34*F$19</f>
        <v>-2.6620000000000013</v>
      </c>
      <c r="G33" s="12">
        <f t="shared" ref="G33" si="11">-G34*G$19</f>
        <v>-2.9282000000000017</v>
      </c>
      <c r="H33" s="12">
        <f t="shared" ref="H33" si="12">-H34*H$19</f>
        <v>-3.221020000000002</v>
      </c>
    </row>
    <row r="34" spans="1:8" x14ac:dyDescent="0.2">
      <c r="B34" s="7" t="s">
        <v>7</v>
      </c>
      <c r="C34" s="8">
        <v>0.02</v>
      </c>
      <c r="D34" s="8">
        <v>0.02</v>
      </c>
      <c r="E34" s="8">
        <v>0.02</v>
      </c>
      <c r="F34" s="8">
        <v>0.02</v>
      </c>
      <c r="G34" s="8">
        <v>0.02</v>
      </c>
      <c r="H34" s="8">
        <v>0.02</v>
      </c>
    </row>
    <row r="36" spans="1:8" x14ac:dyDescent="0.2">
      <c r="B36" s="1" t="s">
        <v>12</v>
      </c>
      <c r="C36" s="14">
        <f>C30+C33</f>
        <v>26</v>
      </c>
      <c r="D36" s="14">
        <f>D30+D33</f>
        <v>28.600000000000016</v>
      </c>
      <c r="E36" s="14">
        <f>E30+E33</f>
        <v>31.460000000000008</v>
      </c>
      <c r="F36" s="14">
        <f>F30+F33</f>
        <v>34.606000000000023</v>
      </c>
      <c r="G36" s="14">
        <f>G30+G33</f>
        <v>38.066600000000022</v>
      </c>
      <c r="H36" s="14">
        <f>H30+H33</f>
        <v>41.87326000000003</v>
      </c>
    </row>
    <row r="38" spans="1:8" x14ac:dyDescent="0.2">
      <c r="B38" s="1" t="s">
        <v>19</v>
      </c>
      <c r="C38" s="12"/>
      <c r="D38" s="20"/>
      <c r="E38" s="20"/>
      <c r="F38" s="20"/>
      <c r="G38" s="20"/>
      <c r="H38" s="20"/>
    </row>
    <row r="39" spans="1:8" x14ac:dyDescent="0.2">
      <c r="B39" s="1" t="s">
        <v>13</v>
      </c>
      <c r="C39" s="14">
        <f>C36+C38</f>
        <v>26</v>
      </c>
      <c r="D39" s="14">
        <f>D36+D38</f>
        <v>28.600000000000016</v>
      </c>
      <c r="E39" s="14">
        <f>E36+E38</f>
        <v>31.460000000000008</v>
      </c>
      <c r="F39" s="14">
        <f>F36+F38</f>
        <v>34.606000000000023</v>
      </c>
      <c r="G39" s="14">
        <f>G36+G38</f>
        <v>38.066600000000022</v>
      </c>
      <c r="H39" s="14">
        <f>H36+H38</f>
        <v>41.87326000000003</v>
      </c>
    </row>
    <row r="41" spans="1:8" x14ac:dyDescent="0.2">
      <c r="B41" s="1" t="s">
        <v>14</v>
      </c>
      <c r="C41" s="12">
        <f>-C42*C$39</f>
        <v>-9.1</v>
      </c>
      <c r="D41" s="12">
        <f>-D42*D$39</f>
        <v>-10.010000000000005</v>
      </c>
      <c r="E41" s="12">
        <f>-E42*E$39</f>
        <v>-11.011000000000003</v>
      </c>
      <c r="F41" s="12">
        <f>-F42*F$39</f>
        <v>-12.112100000000007</v>
      </c>
      <c r="G41" s="12">
        <f>-G42*G$39</f>
        <v>-13.323310000000006</v>
      </c>
      <c r="H41" s="12">
        <f>-H42*H$39</f>
        <v>-14.65564100000001</v>
      </c>
    </row>
    <row r="42" spans="1:8" x14ac:dyDescent="0.2">
      <c r="B42" s="7" t="s">
        <v>15</v>
      </c>
      <c r="C42" s="8">
        <v>0.35</v>
      </c>
      <c r="D42" s="8">
        <v>0.35</v>
      </c>
      <c r="E42" s="8">
        <v>0.35</v>
      </c>
      <c r="F42" s="8">
        <v>0.35</v>
      </c>
      <c r="G42" s="8">
        <v>0.35</v>
      </c>
      <c r="H42" s="8">
        <v>0.35</v>
      </c>
    </row>
    <row r="44" spans="1:8" x14ac:dyDescent="0.2">
      <c r="B44" s="1" t="s">
        <v>16</v>
      </c>
      <c r="C44" s="14">
        <f>C39+C41</f>
        <v>16.899999999999999</v>
      </c>
      <c r="D44" s="14">
        <f>D39+D41</f>
        <v>18.590000000000011</v>
      </c>
      <c r="E44" s="14">
        <f t="shared" ref="E44:H44" si="13">E39+E41</f>
        <v>20.449000000000005</v>
      </c>
      <c r="F44" s="14">
        <f t="shared" si="13"/>
        <v>22.493900000000018</v>
      </c>
      <c r="G44" s="14">
        <f t="shared" si="13"/>
        <v>24.743290000000016</v>
      </c>
      <c r="H44" s="14">
        <f t="shared" si="13"/>
        <v>27.21761900000002</v>
      </c>
    </row>
    <row r="45" spans="1:8" s="7" customFormat="1" x14ac:dyDescent="0.2">
      <c r="B45" s="7" t="s">
        <v>17</v>
      </c>
      <c r="C45" s="16">
        <f>C44/C19</f>
        <v>0.16899999999999998</v>
      </c>
      <c r="D45" s="16">
        <f>D44/D19</f>
        <v>0.16900000000000007</v>
      </c>
      <c r="E45" s="16">
        <f>E44/E19</f>
        <v>0.16900000000000001</v>
      </c>
      <c r="F45" s="16">
        <f>F44/F19</f>
        <v>0.16900000000000007</v>
      </c>
      <c r="G45" s="16">
        <f>G44/G19</f>
        <v>0.16900000000000001</v>
      </c>
      <c r="H45" s="16">
        <f>H44/H19</f>
        <v>0.16900000000000001</v>
      </c>
    </row>
    <row r="47" spans="1:8" x14ac:dyDescent="0.2">
      <c r="A47" s="39" t="s">
        <v>2</v>
      </c>
      <c r="B47" s="40"/>
      <c r="C47" s="40"/>
      <c r="D47" s="40"/>
      <c r="E47" s="40"/>
      <c r="F47" s="40"/>
      <c r="G47" s="40"/>
      <c r="H47" s="40"/>
    </row>
    <row r="48" spans="1:8" x14ac:dyDescent="0.2">
      <c r="A48" s="2"/>
    </row>
    <row r="49" spans="2:10" x14ac:dyDescent="0.2">
      <c r="B49" s="1" t="s">
        <v>18</v>
      </c>
      <c r="C49" s="15"/>
      <c r="D49" s="15">
        <f>D30</f>
        <v>30.800000000000015</v>
      </c>
      <c r="E49" s="15">
        <f t="shared" ref="E49:H49" si="14">E30</f>
        <v>33.88000000000001</v>
      </c>
      <c r="F49" s="15">
        <f t="shared" si="14"/>
        <v>37.268000000000022</v>
      </c>
      <c r="G49" s="15">
        <f t="shared" si="14"/>
        <v>40.994800000000026</v>
      </c>
      <c r="H49" s="15">
        <f t="shared" si="14"/>
        <v>45.094280000000033</v>
      </c>
    </row>
    <row r="50" spans="2:10" x14ac:dyDescent="0.2">
      <c r="B50" s="1" t="str">
        <f>B38</f>
        <v>Interest Expense, Net</v>
      </c>
      <c r="C50" s="17"/>
      <c r="D50" s="17"/>
      <c r="E50" s="17"/>
      <c r="F50" s="17"/>
      <c r="G50" s="17"/>
      <c r="H50" s="17"/>
    </row>
    <row r="51" spans="2:10" x14ac:dyDescent="0.2">
      <c r="B51" s="1" t="str">
        <f>B41</f>
        <v>Taxes</v>
      </c>
      <c r="C51" s="17"/>
      <c r="D51" s="17">
        <f>D41</f>
        <v>-10.010000000000005</v>
      </c>
      <c r="E51" s="17">
        <f t="shared" ref="E51:H51" si="15">E41</f>
        <v>-11.011000000000003</v>
      </c>
      <c r="F51" s="17">
        <f t="shared" si="15"/>
        <v>-12.112100000000007</v>
      </c>
      <c r="G51" s="17">
        <f t="shared" si="15"/>
        <v>-13.323310000000006</v>
      </c>
      <c r="H51" s="17">
        <f t="shared" si="15"/>
        <v>-14.65564100000001</v>
      </c>
    </row>
    <row r="52" spans="2:10" x14ac:dyDescent="0.2">
      <c r="B52" s="1" t="s">
        <v>20</v>
      </c>
      <c r="C52" s="18"/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" t="s">
        <v>23</v>
      </c>
      <c r="J52" s="1" t="s">
        <v>28</v>
      </c>
    </row>
    <row r="53" spans="2:10" x14ac:dyDescent="0.2">
      <c r="B53" s="1" t="s">
        <v>21</v>
      </c>
      <c r="C53" s="17"/>
      <c r="D53" s="17">
        <f>D33</f>
        <v>-2.2000000000000002</v>
      </c>
      <c r="E53" s="17">
        <f t="shared" ref="E53:H53" si="16">E33</f>
        <v>-2.4200000000000008</v>
      </c>
      <c r="F53" s="17">
        <f t="shared" si="16"/>
        <v>-2.6620000000000013</v>
      </c>
      <c r="G53" s="17">
        <f t="shared" si="16"/>
        <v>-2.9282000000000017</v>
      </c>
      <c r="H53" s="17">
        <f t="shared" si="16"/>
        <v>-3.221020000000002</v>
      </c>
      <c r="J53" s="1" t="s">
        <v>29</v>
      </c>
    </row>
    <row r="54" spans="2:10" s="2" customFormat="1" x14ac:dyDescent="0.2">
      <c r="B54" s="2" t="s">
        <v>22</v>
      </c>
      <c r="C54" s="43"/>
      <c r="D54" s="43">
        <f>D49+D50+D51+D52+D53</f>
        <v>18.590000000000011</v>
      </c>
      <c r="E54" s="43">
        <f t="shared" ref="D54:H54" si="17">E49+E50+E51+E52+E53</f>
        <v>20.449000000000005</v>
      </c>
      <c r="F54" s="43">
        <f t="shared" si="17"/>
        <v>22.493900000000014</v>
      </c>
      <c r="G54" s="43">
        <f t="shared" si="17"/>
        <v>24.74329000000002</v>
      </c>
      <c r="H54" s="43">
        <f t="shared" si="17"/>
        <v>27.21761900000002</v>
      </c>
      <c r="I54" s="2" t="s">
        <v>23</v>
      </c>
    </row>
    <row r="56" spans="2:10" x14ac:dyDescent="0.2">
      <c r="B56" s="1" t="s">
        <v>24</v>
      </c>
      <c r="D56" s="22">
        <f>D71</f>
        <v>-9.2950000000000053</v>
      </c>
      <c r="E56" s="22">
        <f t="shared" ref="E56:H56" si="18">E71</f>
        <v>-10.224500000000003</v>
      </c>
      <c r="F56" s="22">
        <f t="shared" si="18"/>
        <v>-11.246950000000007</v>
      </c>
      <c r="G56" s="22">
        <f t="shared" si="18"/>
        <v>-12.37164500000001</v>
      </c>
      <c r="H56" s="22">
        <f t="shared" si="18"/>
        <v>-13.60880950000001</v>
      </c>
    </row>
    <row r="57" spans="2:10" x14ac:dyDescent="0.2">
      <c r="B57" s="1" t="s">
        <v>25</v>
      </c>
      <c r="C57" s="15"/>
      <c r="D57" s="15">
        <f>D54+D56</f>
        <v>9.2950000000000053</v>
      </c>
      <c r="E57" s="15">
        <f t="shared" ref="E57:H57" si="19">E54+E56</f>
        <v>10.224500000000003</v>
      </c>
      <c r="F57" s="15">
        <f t="shared" si="19"/>
        <v>11.246950000000007</v>
      </c>
      <c r="G57" s="15">
        <f t="shared" si="19"/>
        <v>12.37164500000001</v>
      </c>
      <c r="H57" s="15">
        <f t="shared" si="19"/>
        <v>13.60880950000001</v>
      </c>
    </row>
    <row r="59" spans="2:10" x14ac:dyDescent="0.2">
      <c r="B59" s="1" t="s">
        <v>26</v>
      </c>
      <c r="C59" s="18">
        <v>10</v>
      </c>
      <c r="D59" s="1">
        <f>C61</f>
        <v>0</v>
      </c>
      <c r="E59" s="17">
        <f t="shared" ref="E59:H59" si="20">D61</f>
        <v>9.2950000000000053</v>
      </c>
      <c r="F59" s="17">
        <f t="shared" si="20"/>
        <v>19.519500000000008</v>
      </c>
      <c r="G59" s="17">
        <f t="shared" si="20"/>
        <v>30.766450000000013</v>
      </c>
      <c r="H59" s="17">
        <f t="shared" si="20"/>
        <v>43.138095000000021</v>
      </c>
    </row>
    <row r="60" spans="2:10" x14ac:dyDescent="0.2">
      <c r="B60" s="1" t="s">
        <v>52</v>
      </c>
      <c r="C60" s="1">
        <f>-C8</f>
        <v>-10</v>
      </c>
      <c r="E60" s="17"/>
      <c r="F60" s="17"/>
      <c r="G60" s="17"/>
      <c r="H60" s="17"/>
    </row>
    <row r="61" spans="2:10" x14ac:dyDescent="0.2">
      <c r="B61" s="1" t="s">
        <v>27</v>
      </c>
      <c r="C61" s="15">
        <f>C59+C57+C60</f>
        <v>0</v>
      </c>
      <c r="D61" s="15">
        <f t="shared" ref="D61:H61" si="21">D59+D57+D60</f>
        <v>9.2950000000000053</v>
      </c>
      <c r="E61" s="15">
        <f t="shared" si="21"/>
        <v>19.519500000000008</v>
      </c>
      <c r="F61" s="15">
        <f t="shared" si="21"/>
        <v>30.766450000000013</v>
      </c>
      <c r="G61" s="15">
        <f t="shared" si="21"/>
        <v>43.138095000000021</v>
      </c>
      <c r="H61" s="15">
        <f t="shared" si="21"/>
        <v>56.746904500000028</v>
      </c>
    </row>
    <row r="63" spans="2:10" x14ac:dyDescent="0.2">
      <c r="B63" s="1" t="s">
        <v>34</v>
      </c>
      <c r="C63" s="8"/>
      <c r="D63" s="8">
        <v>0.01</v>
      </c>
      <c r="E63" s="8">
        <v>0.01</v>
      </c>
      <c r="F63" s="8">
        <v>0.01</v>
      </c>
      <c r="G63" s="8">
        <v>0.01</v>
      </c>
      <c r="H63" s="8">
        <v>0.01</v>
      </c>
    </row>
    <row r="64" spans="2:10" x14ac:dyDescent="0.2">
      <c r="B64" s="1" t="s">
        <v>36</v>
      </c>
      <c r="D64" s="20">
        <f>AVERAGE(D59:D61)*D63</f>
        <v>4.647500000000003E-2</v>
      </c>
      <c r="E64" s="20">
        <f t="shared" ref="E64:H64" si="22">AVERAGE(E59:E61)*E63</f>
        <v>0.14407250000000008</v>
      </c>
      <c r="F64" s="20">
        <f t="shared" si="22"/>
        <v>0.25142975000000012</v>
      </c>
      <c r="G64" s="20">
        <f t="shared" si="22"/>
        <v>0.36952272500000022</v>
      </c>
      <c r="H64" s="20">
        <f t="shared" si="22"/>
        <v>0.49942499750000025</v>
      </c>
    </row>
    <row r="65" spans="1:8" x14ac:dyDescent="0.2">
      <c r="B65" s="1" t="s">
        <v>23</v>
      </c>
    </row>
    <row r="66" spans="1:8" x14ac:dyDescent="0.2">
      <c r="A66" s="39" t="s">
        <v>3</v>
      </c>
      <c r="B66" s="40"/>
      <c r="C66" s="40"/>
      <c r="D66" s="40"/>
      <c r="E66" s="40"/>
      <c r="F66" s="40"/>
      <c r="G66" s="40"/>
      <c r="H66" s="40"/>
    </row>
    <row r="68" spans="1:8" x14ac:dyDescent="0.2">
      <c r="B68" s="1" t="s">
        <v>30</v>
      </c>
      <c r="C68" s="18">
        <v>20</v>
      </c>
      <c r="D68" s="1">
        <f>C72</f>
        <v>84</v>
      </c>
      <c r="E68" s="1">
        <f t="shared" ref="E68:H68" si="23">D72</f>
        <v>74.704999999999998</v>
      </c>
      <c r="F68" s="1">
        <f t="shared" si="23"/>
        <v>64.480499999999992</v>
      </c>
      <c r="G68" s="1">
        <f t="shared" si="23"/>
        <v>53.233549999999987</v>
      </c>
      <c r="H68" s="1">
        <f t="shared" si="23"/>
        <v>40.861904999999979</v>
      </c>
    </row>
    <row r="69" spans="1:8" x14ac:dyDescent="0.2">
      <c r="B69" s="1" t="s">
        <v>53</v>
      </c>
      <c r="C69" s="18">
        <f>C9</f>
        <v>-20</v>
      </c>
    </row>
    <row r="70" spans="1:8" x14ac:dyDescent="0.2">
      <c r="B70" s="1" t="s">
        <v>45</v>
      </c>
      <c r="C70" s="21">
        <f>G6</f>
        <v>84</v>
      </c>
    </row>
    <row r="71" spans="1:8" x14ac:dyDescent="0.2">
      <c r="B71" s="1" t="s">
        <v>31</v>
      </c>
      <c r="D71" s="22">
        <f>-MIN(D68,D74*D54)</f>
        <v>-9.2950000000000053</v>
      </c>
      <c r="E71" s="22">
        <f t="shared" ref="E71:H71" si="24">-MIN(E68,E74*E54)</f>
        <v>-10.224500000000003</v>
      </c>
      <c r="F71" s="22">
        <f t="shared" si="24"/>
        <v>-11.246950000000007</v>
      </c>
      <c r="G71" s="22">
        <f t="shared" si="24"/>
        <v>-12.37164500000001</v>
      </c>
      <c r="H71" s="22">
        <f t="shared" si="24"/>
        <v>-13.60880950000001</v>
      </c>
    </row>
    <row r="72" spans="1:8" x14ac:dyDescent="0.2">
      <c r="B72" s="1" t="s">
        <v>32</v>
      </c>
      <c r="C72" s="20">
        <f>C68+C69+C71+C70</f>
        <v>84</v>
      </c>
      <c r="D72" s="20">
        <f>D68+D69+D71+D70</f>
        <v>74.704999999999998</v>
      </c>
      <c r="E72" s="20">
        <f t="shared" ref="E72:H72" si="25">E68+E69+E71+E70</f>
        <v>64.480499999999992</v>
      </c>
      <c r="F72" s="20">
        <f t="shared" si="25"/>
        <v>53.233549999999987</v>
      </c>
      <c r="G72" s="20">
        <f t="shared" si="25"/>
        <v>40.861904999999979</v>
      </c>
      <c r="H72" s="20">
        <f t="shared" si="25"/>
        <v>27.253095499999969</v>
      </c>
    </row>
    <row r="74" spans="1:8" x14ac:dyDescent="0.2">
      <c r="B74" s="1" t="s">
        <v>33</v>
      </c>
      <c r="C74" s="8"/>
      <c r="D74" s="8">
        <v>0.5</v>
      </c>
      <c r="E74" s="8">
        <v>0.5</v>
      </c>
      <c r="F74" s="8">
        <v>0.5</v>
      </c>
      <c r="G74" s="8">
        <v>0.5</v>
      </c>
      <c r="H74" s="8">
        <v>0.5</v>
      </c>
    </row>
    <row r="76" spans="1:8" x14ac:dyDescent="0.2">
      <c r="B76" s="1" t="s">
        <v>34</v>
      </c>
      <c r="D76" s="8">
        <v>0.05</v>
      </c>
      <c r="E76" s="8">
        <v>0.05</v>
      </c>
      <c r="F76" s="8">
        <v>0.05</v>
      </c>
      <c r="G76" s="8">
        <v>0.05</v>
      </c>
      <c r="H76" s="8">
        <v>0.05</v>
      </c>
    </row>
    <row r="77" spans="1:8" x14ac:dyDescent="0.2">
      <c r="B77" s="1" t="s">
        <v>35</v>
      </c>
      <c r="D77" s="20">
        <f>-AVERAGE(D72,D68)*D76</f>
        <v>-3.967625</v>
      </c>
      <c r="E77" s="20">
        <f t="shared" ref="E77:H77" si="26">-AVERAGE(E72,E68)*E76</f>
        <v>-3.4796374999999999</v>
      </c>
      <c r="F77" s="20">
        <f t="shared" si="26"/>
        <v>-2.9428512499999999</v>
      </c>
      <c r="G77" s="20">
        <f t="shared" si="26"/>
        <v>-2.3523863749999991</v>
      </c>
      <c r="H77" s="20">
        <f t="shared" si="26"/>
        <v>-1.702875012499999</v>
      </c>
    </row>
    <row r="79" spans="1:8" x14ac:dyDescent="0.2">
      <c r="B79" s="2" t="str">
        <f>B50</f>
        <v>Interest Expense, Net</v>
      </c>
      <c r="C79" s="37"/>
      <c r="D79" s="42">
        <f>D77+D64</f>
        <v>-3.9211499999999999</v>
      </c>
      <c r="E79" s="42">
        <f t="shared" ref="E79:H79" si="27">E77+E64</f>
        <v>-3.3355649999999999</v>
      </c>
      <c r="F79" s="42">
        <f t="shared" si="27"/>
        <v>-2.6914214999999997</v>
      </c>
      <c r="G79" s="42">
        <f t="shared" si="27"/>
        <v>-1.982863649999999</v>
      </c>
      <c r="H79" s="42">
        <f t="shared" si="27"/>
        <v>-1.2034500149999987</v>
      </c>
    </row>
    <row r="81" spans="1:8" x14ac:dyDescent="0.2">
      <c r="A81" s="39" t="s">
        <v>4</v>
      </c>
      <c r="B81" s="40"/>
      <c r="C81" s="40"/>
      <c r="D81" s="40"/>
      <c r="E81" s="40"/>
      <c r="F81" s="40"/>
      <c r="G81" s="40"/>
      <c r="H81" s="40"/>
    </row>
    <row r="83" spans="1:8" x14ac:dyDescent="0.2">
      <c r="B83" s="23" t="s">
        <v>55</v>
      </c>
    </row>
    <row r="84" spans="1:8" x14ac:dyDescent="0.2">
      <c r="B84" s="1" t="str">
        <f>B5</f>
        <v>LTM EBITDA</v>
      </c>
      <c r="C84" s="15">
        <f>H30</f>
        <v>45.094280000000033</v>
      </c>
    </row>
    <row r="85" spans="1:8" x14ac:dyDescent="0.2">
      <c r="B85" s="1" t="str">
        <f>B6</f>
        <v>EBITDAx</v>
      </c>
      <c r="C85" s="19">
        <f>C6</f>
        <v>5</v>
      </c>
    </row>
    <row r="86" spans="1:8" x14ac:dyDescent="0.2">
      <c r="B86" s="1" t="str">
        <f>B7</f>
        <v>TEV</v>
      </c>
      <c r="C86" s="41">
        <f>C84*C85</f>
        <v>225.47140000000016</v>
      </c>
    </row>
    <row r="87" spans="1:8" x14ac:dyDescent="0.2">
      <c r="B87" s="1" t="str">
        <f>B8</f>
        <v xml:space="preserve">Cash </v>
      </c>
      <c r="C87" s="15">
        <f>H61</f>
        <v>56.746904500000028</v>
      </c>
    </row>
    <row r="88" spans="1:8" x14ac:dyDescent="0.2">
      <c r="B88" s="1" t="str">
        <f>B9</f>
        <v>Debt</v>
      </c>
      <c r="C88" s="20">
        <f>-H72</f>
        <v>-27.253095499999969</v>
      </c>
    </row>
    <row r="89" spans="1:8" x14ac:dyDescent="0.2">
      <c r="B89" s="1" t="str">
        <f>B10</f>
        <v>Equity Value</v>
      </c>
      <c r="C89" s="41">
        <f>C86+C87+C88</f>
        <v>254.96520900000019</v>
      </c>
    </row>
    <row r="91" spans="1:8" x14ac:dyDescent="0.2">
      <c r="B91" s="1" t="s">
        <v>54</v>
      </c>
      <c r="C91" s="20">
        <f>-G7</f>
        <v>-57.400000000000006</v>
      </c>
      <c r="D91" s="1">
        <v>0</v>
      </c>
      <c r="E91" s="1">
        <v>0</v>
      </c>
      <c r="F91" s="1">
        <v>0</v>
      </c>
      <c r="G91" s="1">
        <v>0</v>
      </c>
      <c r="H91" s="20">
        <f>C89</f>
        <v>254.96520900000019</v>
      </c>
    </row>
    <row r="93" spans="1:8" x14ac:dyDescent="0.2">
      <c r="B93" s="2" t="s">
        <v>56</v>
      </c>
      <c r="C93" s="24">
        <f>H91/-C91</f>
        <v>4.4419025958188181</v>
      </c>
    </row>
    <row r="94" spans="1:8" x14ac:dyDescent="0.2">
      <c r="B94" s="2" t="s">
        <v>57</v>
      </c>
      <c r="C94" s="25">
        <f>IRR(C91:H91)</f>
        <v>0.34745356008205652</v>
      </c>
    </row>
  </sheetData>
  <mergeCells count="3">
    <mergeCell ref="R6:W6"/>
    <mergeCell ref="E5:G5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Upadhyay</dc:creator>
  <cp:lastModifiedBy>Satish Upadhyay</cp:lastModifiedBy>
  <dcterms:created xsi:type="dcterms:W3CDTF">2023-08-01T16:32:03Z</dcterms:created>
  <dcterms:modified xsi:type="dcterms:W3CDTF">2023-08-02T18:24:21Z</dcterms:modified>
</cp:coreProperties>
</file>