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ish/Desktop/"/>
    </mc:Choice>
  </mc:AlternateContent>
  <xr:revisionPtr revIDLastSave="0" documentId="13_ncr:1_{BDF531A8-DFF5-4540-A786-5205CF1CB3C6}" xr6:coauthVersionLast="45" xr6:coauthVersionMax="45" xr10:uidLastSave="{00000000-0000-0000-0000-000000000000}"/>
  <bookViews>
    <workbookView xWindow="80" yWindow="460" windowWidth="25440" windowHeight="15540" xr2:uid="{BAA5875C-2EC4-7D40-85AF-9A3CA76EFCE4}"/>
  </bookViews>
  <sheets>
    <sheet name="DC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8" i="1" l="1"/>
  <c r="F28" i="1"/>
  <c r="G28" i="1"/>
  <c r="E28" i="1"/>
  <c r="R22" i="1"/>
  <c r="R25" i="1" s="1"/>
  <c r="O20" i="1"/>
  <c r="O19" i="1"/>
  <c r="O18" i="1"/>
  <c r="R15" i="1"/>
  <c r="O15" i="1"/>
  <c r="G69" i="1"/>
  <c r="F69" i="1"/>
  <c r="I65" i="1"/>
  <c r="J65" i="1"/>
  <c r="K65" i="1" s="1"/>
  <c r="L65" i="1" s="1"/>
  <c r="H65" i="1"/>
  <c r="I67" i="1"/>
  <c r="J67" i="1"/>
  <c r="K67" i="1" s="1"/>
  <c r="L67" i="1" s="1"/>
  <c r="H67" i="1"/>
  <c r="G67" i="1"/>
  <c r="F67" i="1"/>
  <c r="G65" i="1"/>
  <c r="F65" i="1"/>
  <c r="J57" i="1"/>
  <c r="K57" i="1"/>
  <c r="L57" i="1" s="1"/>
  <c r="I57" i="1"/>
  <c r="G55" i="1"/>
  <c r="F55" i="1"/>
  <c r="G59" i="1"/>
  <c r="F59" i="1"/>
  <c r="H33" i="1"/>
  <c r="I33" i="1"/>
  <c r="J33" i="1" s="1"/>
  <c r="K33" i="1" s="1"/>
  <c r="H34" i="1"/>
  <c r="I34" i="1" s="1"/>
  <c r="H35" i="1"/>
  <c r="I35" i="1"/>
  <c r="J35" i="1" s="1"/>
  <c r="K35" i="1" s="1"/>
  <c r="H36" i="1"/>
  <c r="I36" i="1" s="1"/>
  <c r="I32" i="1"/>
  <c r="J32" i="1" s="1"/>
  <c r="H32" i="1"/>
  <c r="H19" i="1"/>
  <c r="I19" i="1"/>
  <c r="J19" i="1" s="1"/>
  <c r="K19" i="1" s="1"/>
  <c r="H20" i="1"/>
  <c r="I20" i="1" s="1"/>
  <c r="H21" i="1"/>
  <c r="I21" i="1" s="1"/>
  <c r="J21" i="1" s="1"/>
  <c r="K21" i="1" s="1"/>
  <c r="H22" i="1"/>
  <c r="I22" i="1" s="1"/>
  <c r="H23" i="1"/>
  <c r="H55" i="1" s="1"/>
  <c r="H24" i="1"/>
  <c r="I24" i="1" s="1"/>
  <c r="H25" i="1"/>
  <c r="I25" i="1" s="1"/>
  <c r="J25" i="1" s="1"/>
  <c r="K25" i="1" s="1"/>
  <c r="K18" i="1"/>
  <c r="L18" i="1"/>
  <c r="I18" i="1"/>
  <c r="J18" i="1" s="1"/>
  <c r="H18" i="1"/>
  <c r="H12" i="1"/>
  <c r="I12" i="1" s="1"/>
  <c r="J12" i="1" s="1"/>
  <c r="K12" i="1" s="1"/>
  <c r="L12" i="1" s="1"/>
  <c r="H14" i="1"/>
  <c r="I14" i="1" s="1"/>
  <c r="J14" i="1" s="1"/>
  <c r="K14" i="1" s="1"/>
  <c r="L14" i="1" s="1"/>
  <c r="H13" i="1"/>
  <c r="H15" i="1" s="1"/>
  <c r="H46" i="1" s="1"/>
  <c r="G46" i="1"/>
  <c r="F46" i="1"/>
  <c r="G51" i="1"/>
  <c r="F51" i="1"/>
  <c r="G50" i="1"/>
  <c r="F50" i="1"/>
  <c r="G49" i="1"/>
  <c r="F49" i="1"/>
  <c r="G48" i="1"/>
  <c r="F48" i="1"/>
  <c r="G47" i="1"/>
  <c r="F47" i="1"/>
  <c r="F43" i="1"/>
  <c r="G43" i="1"/>
  <c r="E43" i="1"/>
  <c r="F41" i="1"/>
  <c r="G41" i="1"/>
  <c r="E41" i="1"/>
  <c r="F38" i="1"/>
  <c r="G38" i="1"/>
  <c r="E38" i="1"/>
  <c r="G30" i="1"/>
  <c r="F30" i="1"/>
  <c r="E30" i="1"/>
  <c r="G26" i="1"/>
  <c r="F26" i="1"/>
  <c r="E26" i="1"/>
  <c r="G15" i="1"/>
  <c r="F15" i="1"/>
  <c r="E15" i="1"/>
  <c r="H64" i="1" l="1"/>
  <c r="H28" i="1"/>
  <c r="H76" i="1"/>
  <c r="I23" i="1"/>
  <c r="J23" i="1" s="1"/>
  <c r="K23" i="1" s="1"/>
  <c r="K55" i="1" s="1"/>
  <c r="H26" i="1"/>
  <c r="H66" i="1" s="1"/>
  <c r="H69" i="1" s="1"/>
  <c r="I55" i="1"/>
  <c r="I26" i="1"/>
  <c r="I66" i="1" s="1"/>
  <c r="J55" i="1"/>
  <c r="H30" i="1"/>
  <c r="H50" i="1" s="1"/>
  <c r="J36" i="1"/>
  <c r="J34" i="1"/>
  <c r="K36" i="1"/>
  <c r="L36" i="1" s="1"/>
  <c r="L35" i="1"/>
  <c r="K34" i="1"/>
  <c r="L34" i="1" s="1"/>
  <c r="L33" i="1"/>
  <c r="K32" i="1"/>
  <c r="L32" i="1"/>
  <c r="J22" i="1"/>
  <c r="K22" i="1" s="1"/>
  <c r="L22" i="1" s="1"/>
  <c r="J24" i="1"/>
  <c r="K24" i="1" s="1"/>
  <c r="L24" i="1" s="1"/>
  <c r="J20" i="1"/>
  <c r="K20" i="1" s="1"/>
  <c r="L20" i="1" s="1"/>
  <c r="L25" i="1"/>
  <c r="L23" i="1"/>
  <c r="L55" i="1" s="1"/>
  <c r="L21" i="1"/>
  <c r="L19" i="1"/>
  <c r="I13" i="1"/>
  <c r="I76" i="1" l="1"/>
  <c r="H38" i="1"/>
  <c r="H40" i="1" s="1"/>
  <c r="L26" i="1"/>
  <c r="L66" i="1" s="1"/>
  <c r="J26" i="1"/>
  <c r="J66" i="1" s="1"/>
  <c r="H56" i="1"/>
  <c r="K26" i="1"/>
  <c r="K66" i="1" s="1"/>
  <c r="I15" i="1"/>
  <c r="J13" i="1"/>
  <c r="H43" i="1" l="1"/>
  <c r="I64" i="1"/>
  <c r="I69" i="1" s="1"/>
  <c r="I56" i="1" s="1"/>
  <c r="I28" i="1"/>
  <c r="J76" i="1"/>
  <c r="H51" i="1"/>
  <c r="H59" i="1"/>
  <c r="H78" i="1" s="1"/>
  <c r="I46" i="1"/>
  <c r="I30" i="1"/>
  <c r="K13" i="1"/>
  <c r="J15" i="1"/>
  <c r="J28" i="1" l="1"/>
  <c r="J64" i="1"/>
  <c r="J69" i="1" s="1"/>
  <c r="K76" i="1"/>
  <c r="J46" i="1"/>
  <c r="J30" i="1"/>
  <c r="I50" i="1"/>
  <c r="I38" i="1"/>
  <c r="L13" i="1"/>
  <c r="L15" i="1" s="1"/>
  <c r="K15" i="1"/>
  <c r="L30" i="1" l="1"/>
  <c r="L50" i="1" s="1"/>
  <c r="L28" i="1"/>
  <c r="L64" i="1"/>
  <c r="L69" i="1" s="1"/>
  <c r="K64" i="1"/>
  <c r="K69" i="1" s="1"/>
  <c r="K28" i="1"/>
  <c r="J56" i="1"/>
  <c r="L76" i="1"/>
  <c r="I40" i="1"/>
  <c r="I43" i="1" s="1"/>
  <c r="J50" i="1"/>
  <c r="J38" i="1"/>
  <c r="K46" i="1"/>
  <c r="K30" i="1"/>
  <c r="L38" i="1"/>
  <c r="L46" i="1"/>
  <c r="L56" i="1" l="1"/>
  <c r="K56" i="1"/>
  <c r="I51" i="1"/>
  <c r="I59" i="1"/>
  <c r="I78" i="1" s="1"/>
  <c r="J40" i="1"/>
  <c r="J43" i="1" s="1"/>
  <c r="K50" i="1"/>
  <c r="K38" i="1"/>
  <c r="L40" i="1"/>
  <c r="L43" i="1" s="1"/>
  <c r="L51" i="1" l="1"/>
  <c r="L59" i="1"/>
  <c r="J51" i="1"/>
  <c r="J59" i="1"/>
  <c r="J78" i="1" s="1"/>
  <c r="K40" i="1"/>
  <c r="K43" i="1" s="1"/>
  <c r="M59" i="1" l="1"/>
  <c r="M78" i="1" s="1"/>
  <c r="L78" i="1"/>
  <c r="K51" i="1"/>
  <c r="K59" i="1"/>
  <c r="K78" i="1" s="1"/>
  <c r="D87" i="1" l="1"/>
  <c r="D93" i="1" s="1"/>
  <c r="D96" i="1" s="1"/>
  <c r="D9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Satish Upadhyay</author>
  </authors>
  <commentList>
    <comment ref="G57" authorId="0" shapeId="0" xr:uid="{2FF906D0-2917-AA48-A226-C1D4474D50AC}">
      <text>
        <r>
          <rPr>
            <b/>
            <sz val="10"/>
            <color rgb="FF000000"/>
            <rFont val="Tahoma"/>
            <family val="2"/>
          </rPr>
          <t>Satish Upadhyay: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Management Guidance 
</t>
        </r>
      </text>
    </comment>
    <comment ref="H57" authorId="0" shapeId="0" xr:uid="{D3B1E9E5-3236-AD46-BB25-A93FF7823F50}">
      <text>
        <r>
          <rPr>
            <b/>
            <sz val="10"/>
            <color rgb="FF000000"/>
            <rFont val="Tahoma"/>
            <family val="2"/>
          </rPr>
          <t>Satish Upadhyay: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Management Guidance</t>
        </r>
      </text>
    </comment>
  </commentList>
</comments>
</file>

<file path=xl/sharedStrings.xml><?xml version="1.0" encoding="utf-8"?>
<sst xmlns="http://schemas.openxmlformats.org/spreadsheetml/2006/main" count="114" uniqueCount="94">
  <si>
    <t xml:space="preserve">DCF Model Host Hotels &amp; Resorts (HST) </t>
  </si>
  <si>
    <t xml:space="preserve">$mm except per share </t>
  </si>
  <si>
    <t>Company Name</t>
  </si>
  <si>
    <t>Host Hotels &amp; Resorts</t>
  </si>
  <si>
    <t>Share Price</t>
  </si>
  <si>
    <t xml:space="preserve">Income Statement </t>
  </si>
  <si>
    <t>Fiscal Year</t>
  </si>
  <si>
    <t>2017A</t>
  </si>
  <si>
    <t>2018A</t>
  </si>
  <si>
    <t>2019A</t>
  </si>
  <si>
    <t>2020P</t>
  </si>
  <si>
    <t>2021P</t>
  </si>
  <si>
    <t>2022P</t>
  </si>
  <si>
    <t>2023P</t>
  </si>
  <si>
    <t>2024P</t>
  </si>
  <si>
    <t xml:space="preserve">Revenues: </t>
  </si>
  <si>
    <t xml:space="preserve">Rooms </t>
  </si>
  <si>
    <t>Food &amp; Beverage</t>
  </si>
  <si>
    <t>Other</t>
  </si>
  <si>
    <t xml:space="preserve">Total Revenue: </t>
  </si>
  <si>
    <t xml:space="preserve">Expenses: </t>
  </si>
  <si>
    <t>Rooms</t>
  </si>
  <si>
    <t xml:space="preserve">Food &amp; Beverage </t>
  </si>
  <si>
    <t>Management Fees</t>
  </si>
  <si>
    <t>Other Dept &amp; Support Expenses</t>
  </si>
  <si>
    <t xml:space="preserve">Other Property Level Expenses </t>
  </si>
  <si>
    <t xml:space="preserve">Depreciation &amp; Amortization </t>
  </si>
  <si>
    <t>Corporate &amp; Other</t>
  </si>
  <si>
    <t xml:space="preserve">Gain on Insurance and Business Interupption </t>
  </si>
  <si>
    <t xml:space="preserve">Total Operating Expenses: </t>
  </si>
  <si>
    <t xml:space="preserve">Operating Profit: </t>
  </si>
  <si>
    <t xml:space="preserve">Interest Income </t>
  </si>
  <si>
    <t xml:space="preserve">Interest Expense </t>
  </si>
  <si>
    <t>Other gains/losses</t>
  </si>
  <si>
    <t>Loss in Foreign Currency Transactions and Derivatives</t>
  </si>
  <si>
    <t>Equity in Earnings Affiliates</t>
  </si>
  <si>
    <t xml:space="preserve">Income before Income Taxes </t>
  </si>
  <si>
    <t>Provision for Income Taxes</t>
  </si>
  <si>
    <t>Tax Rate</t>
  </si>
  <si>
    <t>Net Income</t>
  </si>
  <si>
    <t xml:space="preserve">Growth Rates &amp; Margins </t>
  </si>
  <si>
    <t xml:space="preserve">Revenue </t>
  </si>
  <si>
    <t>Operating Margin</t>
  </si>
  <si>
    <t xml:space="preserve">Profit Margin </t>
  </si>
  <si>
    <t>FCF</t>
  </si>
  <si>
    <t xml:space="preserve">Free Cash Flow </t>
  </si>
  <si>
    <t xml:space="preserve"> </t>
  </si>
  <si>
    <t>Increase in Net Working Capital</t>
  </si>
  <si>
    <t>Capital Expenditures</t>
  </si>
  <si>
    <t xml:space="preserve">Net Working Capital </t>
  </si>
  <si>
    <t>Accounts Receivables</t>
  </si>
  <si>
    <t>Accounts Payable</t>
  </si>
  <si>
    <t>Non Cash Expenses(D&amp;A)</t>
  </si>
  <si>
    <t xml:space="preserve">Working Capital </t>
  </si>
  <si>
    <t>AR % of Sales</t>
  </si>
  <si>
    <t>AP % of Expenses</t>
  </si>
  <si>
    <t>Gross Debt</t>
  </si>
  <si>
    <t>Senior Notes</t>
  </si>
  <si>
    <t>Credit Facility</t>
  </si>
  <si>
    <t xml:space="preserve">Other </t>
  </si>
  <si>
    <t>WAAC</t>
  </si>
  <si>
    <t xml:space="preserve">Equity </t>
  </si>
  <si>
    <t>Total Asset</t>
  </si>
  <si>
    <t xml:space="preserve">2019A </t>
  </si>
  <si>
    <t>Total Liabilites</t>
  </si>
  <si>
    <t>Total Debt</t>
  </si>
  <si>
    <t>Total Equity</t>
  </si>
  <si>
    <t>Cost of Debt</t>
  </si>
  <si>
    <t xml:space="preserve">Interest Paid </t>
  </si>
  <si>
    <t>Interest Rate</t>
  </si>
  <si>
    <t xml:space="preserve">Tax rate </t>
  </si>
  <si>
    <t xml:space="preserve">Cost of Equity </t>
  </si>
  <si>
    <t>Risk Free</t>
  </si>
  <si>
    <t xml:space="preserve">Beta </t>
  </si>
  <si>
    <t>Weighted Average Cost of Capital</t>
  </si>
  <si>
    <t>Cost of Equity</t>
  </si>
  <si>
    <t>PV of FCF</t>
  </si>
  <si>
    <t>Discount Year</t>
  </si>
  <si>
    <t>Cost of Capital</t>
  </si>
  <si>
    <t>Present Value of FCF</t>
  </si>
  <si>
    <t>Long Term Growth Rate</t>
  </si>
  <si>
    <t>T</t>
  </si>
  <si>
    <t xml:space="preserve">Enterprise Value </t>
  </si>
  <si>
    <t>Implied Upside</t>
  </si>
  <si>
    <t xml:space="preserve">Book Value of Debt </t>
  </si>
  <si>
    <t xml:space="preserve">Cash </t>
  </si>
  <si>
    <t xml:space="preserve">Preferred </t>
  </si>
  <si>
    <t>Minority Interest</t>
  </si>
  <si>
    <t xml:space="preserve">Equity Value </t>
  </si>
  <si>
    <t>Total Shares Outstanding</t>
  </si>
  <si>
    <t>Implied Equity Value</t>
  </si>
  <si>
    <t xml:space="preserve">Upside </t>
  </si>
  <si>
    <t>EBITDA</t>
  </si>
  <si>
    <t>Market Rate of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</si>
</sst>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72" formatCode="0.0%"/>
    <numFmt numFmtId="179" formatCode="0.00000%"/>
    <numFmt numFmtId="180" formatCode="0.000%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i/>
      <sz val="12"/>
      <color theme="4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38" fontId="0" fillId="0" borderId="0" xfId="0" applyNumberFormat="1"/>
    <xf numFmtId="0" fontId="3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38" fontId="6" fillId="0" borderId="0" xfId="0" applyNumberFormat="1" applyFont="1"/>
    <xf numFmtId="0" fontId="0" fillId="0" borderId="0" xfId="0" applyFont="1"/>
    <xf numFmtId="0" fontId="6" fillId="0" borderId="0" xfId="0" applyFont="1"/>
    <xf numFmtId="38" fontId="2" fillId="0" borderId="0" xfId="0" applyNumberFormat="1" applyFont="1"/>
    <xf numFmtId="9" fontId="3" fillId="0" borderId="0" xfId="0" applyNumberFormat="1" applyFont="1"/>
    <xf numFmtId="0" fontId="7" fillId="0" borderId="0" xfId="0" applyFont="1"/>
    <xf numFmtId="9" fontId="0" fillId="0" borderId="0" xfId="0" applyNumberFormat="1"/>
    <xf numFmtId="9" fontId="6" fillId="0" borderId="0" xfId="0" applyNumberFormat="1" applyFont="1"/>
    <xf numFmtId="1" fontId="0" fillId="0" borderId="0" xfId="0" applyNumberFormat="1"/>
    <xf numFmtId="1" fontId="8" fillId="0" borderId="0" xfId="0" applyNumberFormat="1" applyFont="1"/>
    <xf numFmtId="172" fontId="0" fillId="0" borderId="0" xfId="0" applyNumberFormat="1"/>
    <xf numFmtId="1" fontId="2" fillId="0" borderId="0" xfId="0" applyNumberFormat="1" applyFont="1"/>
    <xf numFmtId="9" fontId="9" fillId="0" borderId="0" xfId="0" applyNumberFormat="1" applyFont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 applyAlignment="1">
      <alignment horizontal="center"/>
    </xf>
    <xf numFmtId="1" fontId="6" fillId="0" borderId="0" xfId="0" applyNumberFormat="1" applyFont="1"/>
    <xf numFmtId="9" fontId="13" fillId="0" borderId="0" xfId="0" applyNumberFormat="1" applyFont="1"/>
    <xf numFmtId="0" fontId="2" fillId="0" borderId="2" xfId="0" applyFont="1" applyBorder="1"/>
    <xf numFmtId="38" fontId="2" fillId="0" borderId="2" xfId="0" applyNumberFormat="1" applyFont="1" applyBorder="1"/>
    <xf numFmtId="38" fontId="0" fillId="0" borderId="2" xfId="0" applyNumberFormat="1" applyFont="1" applyBorder="1"/>
    <xf numFmtId="0" fontId="14" fillId="0" borderId="0" xfId="0" applyFont="1" applyAlignment="1">
      <alignment horizontal="center"/>
    </xf>
    <xf numFmtId="179" fontId="0" fillId="0" borderId="0" xfId="0" applyNumberFormat="1"/>
    <xf numFmtId="180" fontId="0" fillId="0" borderId="0" xfId="0" applyNumberFormat="1"/>
    <xf numFmtId="180" fontId="2" fillId="0" borderId="0" xfId="0" applyNumberFormat="1" applyFont="1"/>
    <xf numFmtId="0" fontId="2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center"/>
    </xf>
    <xf numFmtId="0" fontId="2" fillId="0" borderId="1" xfId="0" applyFont="1" applyBorder="1"/>
    <xf numFmtId="44" fontId="6" fillId="0" borderId="0" xfId="0" applyNumberFormat="1" applyFont="1"/>
    <xf numFmtId="10" fontId="6" fillId="0" borderId="0" xfId="0" applyNumberFormat="1" applyFont="1"/>
    <xf numFmtId="0" fontId="2" fillId="0" borderId="3" xfId="0" applyFont="1" applyBorder="1"/>
    <xf numFmtId="0" fontId="0" fillId="0" borderId="4" xfId="0" applyBorder="1"/>
    <xf numFmtId="8" fontId="2" fillId="0" borderId="5" xfId="0" applyNumberFormat="1" applyFont="1" applyBorder="1"/>
    <xf numFmtId="0" fontId="3" fillId="0" borderId="6" xfId="0" applyFont="1" applyBorder="1"/>
    <xf numFmtId="0" fontId="0" fillId="0" borderId="7" xfId="0" applyBorder="1"/>
    <xf numFmtId="10" fontId="3" fillId="0" borderId="8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C79D-6419-2D42-814C-B7285EB4E5D6}">
  <dimension ref="A1:R97"/>
  <sheetViews>
    <sheetView tabSelected="1" zoomScale="94" workbookViewId="0">
      <selection activeCell="F97" sqref="F97"/>
    </sheetView>
  </sheetViews>
  <sheetFormatPr baseColWidth="10" defaultRowHeight="16" x14ac:dyDescent="0.2"/>
  <cols>
    <col min="1" max="1" width="3.33203125" customWidth="1"/>
    <col min="2" max="2" width="10.83203125" style="11"/>
    <col min="4" max="4" width="24" customWidth="1"/>
    <col min="6" max="7" width="11.83203125" bestFit="1" customWidth="1"/>
    <col min="8" max="12" width="12.6640625" bestFit="1" customWidth="1"/>
    <col min="13" max="13" width="10.83203125" customWidth="1"/>
    <col min="14" max="14" width="24.5" bestFit="1" customWidth="1"/>
    <col min="17" max="17" width="19.5" bestFit="1" customWidth="1"/>
  </cols>
  <sheetData>
    <row r="1" spans="1:18" ht="29" x14ac:dyDescent="0.35">
      <c r="B1" s="4" t="s">
        <v>0</v>
      </c>
    </row>
    <row r="2" spans="1:18" x14ac:dyDescent="0.2">
      <c r="B2" s="1" t="s">
        <v>1</v>
      </c>
    </row>
    <row r="3" spans="1:18" x14ac:dyDescent="0.2">
      <c r="B3"/>
    </row>
    <row r="4" spans="1:18" x14ac:dyDescent="0.2">
      <c r="B4" s="2" t="s">
        <v>2</v>
      </c>
      <c r="D4" t="s">
        <v>3</v>
      </c>
    </row>
    <row r="5" spans="1:18" x14ac:dyDescent="0.2">
      <c r="B5" s="2" t="s">
        <v>4</v>
      </c>
      <c r="D5" s="38">
        <v>11.94</v>
      </c>
    </row>
    <row r="6" spans="1:18" x14ac:dyDescent="0.2">
      <c r="B6" s="2"/>
      <c r="D6" s="38"/>
    </row>
    <row r="7" spans="1:18" x14ac:dyDescent="0.2">
      <c r="A7" s="2"/>
      <c r="B7"/>
    </row>
    <row r="8" spans="1:18" ht="19" x14ac:dyDescent="0.25">
      <c r="A8" s="2"/>
      <c r="B8" s="3" t="s">
        <v>5</v>
      </c>
      <c r="N8" s="3"/>
    </row>
    <row r="9" spans="1:18" x14ac:dyDescent="0.2">
      <c r="B9" s="7" t="s">
        <v>6</v>
      </c>
      <c r="C9" s="8"/>
      <c r="D9" s="8"/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9" t="s">
        <v>12</v>
      </c>
      <c r="K9" s="9" t="s">
        <v>13</v>
      </c>
      <c r="L9" s="9" t="s">
        <v>14</v>
      </c>
      <c r="N9" s="35" t="s">
        <v>60</v>
      </c>
      <c r="O9" s="8"/>
      <c r="P9" s="8"/>
      <c r="Q9" s="8"/>
      <c r="R9" s="8"/>
    </row>
    <row r="10" spans="1:18" x14ac:dyDescent="0.2">
      <c r="B10"/>
      <c r="N10" s="2" t="s">
        <v>56</v>
      </c>
      <c r="O10" s="5" t="s">
        <v>9</v>
      </c>
      <c r="Q10" s="2" t="s">
        <v>61</v>
      </c>
      <c r="R10" s="31" t="s">
        <v>63</v>
      </c>
    </row>
    <row r="11" spans="1:18" x14ac:dyDescent="0.2">
      <c r="B11" s="2" t="s">
        <v>15</v>
      </c>
      <c r="N11" t="s">
        <v>57</v>
      </c>
      <c r="O11" s="12">
        <v>2776</v>
      </c>
      <c r="Q11" s="11" t="s">
        <v>62</v>
      </c>
      <c r="R11" s="12">
        <v>12305</v>
      </c>
    </row>
    <row r="12" spans="1:18" x14ac:dyDescent="0.2">
      <c r="B12" t="s">
        <v>16</v>
      </c>
      <c r="E12" s="10">
        <v>3490</v>
      </c>
      <c r="F12" s="10">
        <v>3547</v>
      </c>
      <c r="G12" s="10">
        <v>3431</v>
      </c>
      <c r="H12" s="18">
        <f>G12*(1+H47)</f>
        <v>3328.0699999999997</v>
      </c>
      <c r="I12" s="18">
        <f t="shared" ref="I12:L12" si="0">H12*(1+I47)</f>
        <v>3328.0699999999997</v>
      </c>
      <c r="J12" s="18">
        <f t="shared" si="0"/>
        <v>3328.0699999999997</v>
      </c>
      <c r="K12" s="18">
        <f t="shared" si="0"/>
        <v>3361.3507</v>
      </c>
      <c r="L12" s="18">
        <f t="shared" si="0"/>
        <v>3428.577714</v>
      </c>
      <c r="N12" t="s">
        <v>58</v>
      </c>
      <c r="O12" s="12">
        <v>998</v>
      </c>
      <c r="Q12" t="s">
        <v>64</v>
      </c>
      <c r="R12" s="12">
        <v>4838</v>
      </c>
    </row>
    <row r="13" spans="1:18" x14ac:dyDescent="0.2">
      <c r="B13" t="s">
        <v>17</v>
      </c>
      <c r="E13" s="10">
        <v>1561</v>
      </c>
      <c r="F13" s="10">
        <v>1616</v>
      </c>
      <c r="G13" s="10">
        <v>1647</v>
      </c>
      <c r="H13" s="18">
        <f>G13*(1+H48)</f>
        <v>1564.6499999999999</v>
      </c>
      <c r="I13" s="18">
        <f t="shared" ref="I13:L13" si="1">H13*(1+I48)</f>
        <v>1564.6499999999999</v>
      </c>
      <c r="J13" s="18">
        <f t="shared" si="1"/>
        <v>1564.6499999999999</v>
      </c>
      <c r="K13" s="18">
        <f t="shared" si="1"/>
        <v>1611.5894999999998</v>
      </c>
      <c r="L13" s="18">
        <f t="shared" si="1"/>
        <v>1659.9371849999998</v>
      </c>
      <c r="N13" t="s">
        <v>59</v>
      </c>
      <c r="O13" s="12">
        <v>29</v>
      </c>
    </row>
    <row r="14" spans="1:18" x14ac:dyDescent="0.2">
      <c r="B14" t="s">
        <v>18</v>
      </c>
      <c r="E14" s="10">
        <v>336</v>
      </c>
      <c r="F14" s="10">
        <v>361</v>
      </c>
      <c r="G14" s="10">
        <v>391</v>
      </c>
      <c r="H14" s="18">
        <f>G14*(1+H49)</f>
        <v>383.18</v>
      </c>
      <c r="I14" s="18">
        <f t="shared" ref="I14:L14" si="2">H14*(1+I49)</f>
        <v>383.18</v>
      </c>
      <c r="J14" s="18">
        <f t="shared" si="2"/>
        <v>383.18</v>
      </c>
      <c r="K14" s="18">
        <f t="shared" si="2"/>
        <v>402.339</v>
      </c>
      <c r="L14" s="18">
        <f t="shared" si="2"/>
        <v>426.47934000000004</v>
      </c>
    </row>
    <row r="15" spans="1:18" s="2" customFormat="1" x14ac:dyDescent="0.2">
      <c r="B15" s="2" t="s">
        <v>19</v>
      </c>
      <c r="E15" s="13">
        <f>SUM(E12:E14)</f>
        <v>5387</v>
      </c>
      <c r="F15" s="13">
        <f>SUM(F12:F14)</f>
        <v>5524</v>
      </c>
      <c r="G15" s="13">
        <f>SUM(G12:G14)</f>
        <v>5469</v>
      </c>
      <c r="H15" s="19">
        <f>SUM(H12:H14)</f>
        <v>5275.9</v>
      </c>
      <c r="I15" s="19">
        <f t="shared" ref="I15:L15" si="3">SUM(I12:I14)</f>
        <v>5275.9</v>
      </c>
      <c r="J15" s="19">
        <f t="shared" si="3"/>
        <v>5275.9</v>
      </c>
      <c r="K15" s="19">
        <f t="shared" si="3"/>
        <v>5375.2791999999999</v>
      </c>
      <c r="L15" s="19">
        <f t="shared" si="3"/>
        <v>5514.9942389999997</v>
      </c>
      <c r="N15" s="2" t="s">
        <v>65</v>
      </c>
      <c r="O15" s="2">
        <f>SUM(O11:O13)</f>
        <v>3803</v>
      </c>
      <c r="Q15" s="2" t="s">
        <v>66</v>
      </c>
      <c r="R15" s="2">
        <f>R11-R12</f>
        <v>7467</v>
      </c>
    </row>
    <row r="16" spans="1:18" x14ac:dyDescent="0.2">
      <c r="B16" s="2"/>
      <c r="Q16" t="s">
        <v>46</v>
      </c>
    </row>
    <row r="17" spans="2:18" x14ac:dyDescent="0.2">
      <c r="B17" s="2" t="s">
        <v>20</v>
      </c>
      <c r="E17" s="10"/>
      <c r="F17" s="10"/>
      <c r="G17" s="10"/>
      <c r="N17" s="2" t="s">
        <v>67</v>
      </c>
      <c r="Q17" s="2" t="s">
        <v>71</v>
      </c>
    </row>
    <row r="18" spans="2:18" x14ac:dyDescent="0.2">
      <c r="B18" s="11" t="s">
        <v>21</v>
      </c>
      <c r="E18" s="10">
        <v>899</v>
      </c>
      <c r="F18" s="10">
        <v>918</v>
      </c>
      <c r="G18" s="10">
        <v>873</v>
      </c>
      <c r="H18" s="6">
        <f>AVERAGE(E18:G18)</f>
        <v>896.66666666666663</v>
      </c>
      <c r="I18" s="6">
        <f t="shared" ref="I18:J18" si="4">AVERAGE(F18:H18)</f>
        <v>895.8888888888888</v>
      </c>
      <c r="J18" s="6">
        <f t="shared" si="4"/>
        <v>888.51851851851836</v>
      </c>
      <c r="K18" s="6">
        <f t="shared" ref="K18" si="5">AVERAGE(H18:J18)</f>
        <v>893.69135802469134</v>
      </c>
      <c r="L18" s="6">
        <f t="shared" ref="L18" si="6">AVERAGE(I18:K18)</f>
        <v>892.69958847736609</v>
      </c>
      <c r="N18" t="s">
        <v>68</v>
      </c>
      <c r="O18" s="6">
        <f>SUM(G32:G33)</f>
        <v>-190</v>
      </c>
      <c r="Q18" t="s">
        <v>72</v>
      </c>
      <c r="R18" s="17">
        <v>6.6E-3</v>
      </c>
    </row>
    <row r="19" spans="2:18" x14ac:dyDescent="0.2">
      <c r="B19" s="11" t="s">
        <v>22</v>
      </c>
      <c r="E19" s="10">
        <v>1071</v>
      </c>
      <c r="F19" s="10">
        <v>1103</v>
      </c>
      <c r="G19" s="10">
        <v>1120</v>
      </c>
      <c r="H19" s="6">
        <f t="shared" ref="H19:H25" si="7">AVERAGE(E19:G19)</f>
        <v>1098</v>
      </c>
      <c r="I19" s="6">
        <f t="shared" ref="I19:I25" si="8">AVERAGE(F19:H19)</f>
        <v>1107</v>
      </c>
      <c r="J19" s="6">
        <f t="shared" ref="J19:J25" si="9">AVERAGE(G19:I19)</f>
        <v>1108.3333333333333</v>
      </c>
      <c r="K19" s="6">
        <f t="shared" ref="K19:K25" si="10">AVERAGE(H19:J19)</f>
        <v>1104.4444444444443</v>
      </c>
      <c r="L19" s="6">
        <f t="shared" ref="L19:L25" si="11">AVERAGE(I19:K19)</f>
        <v>1106.5925925925924</v>
      </c>
      <c r="N19" t="s">
        <v>69</v>
      </c>
      <c r="O19" s="16">
        <f>(O18*-1)/O15</f>
        <v>4.9960557454641071E-2</v>
      </c>
      <c r="Q19" s="11" t="s">
        <v>73</v>
      </c>
      <c r="R19" s="12">
        <v>1.25</v>
      </c>
    </row>
    <row r="20" spans="2:18" x14ac:dyDescent="0.2">
      <c r="B20" s="11" t="s">
        <v>24</v>
      </c>
      <c r="E20" s="10">
        <v>1273</v>
      </c>
      <c r="F20" s="10">
        <v>1302</v>
      </c>
      <c r="G20" s="10">
        <v>1295</v>
      </c>
      <c r="H20" s="6">
        <f t="shared" si="7"/>
        <v>1290</v>
      </c>
      <c r="I20" s="6">
        <f t="shared" si="8"/>
        <v>1295.6666666666667</v>
      </c>
      <c r="J20" s="6">
        <f t="shared" si="9"/>
        <v>1293.5555555555557</v>
      </c>
      <c r="K20" s="6">
        <f t="shared" si="10"/>
        <v>1293.0740740740741</v>
      </c>
      <c r="L20" s="6">
        <f t="shared" si="11"/>
        <v>1294.0987654320988</v>
      </c>
      <c r="N20" t="s">
        <v>70</v>
      </c>
      <c r="O20" s="16">
        <f>G41</f>
        <v>3.1185031185031187E-2</v>
      </c>
      <c r="Q20" s="11" t="s">
        <v>93</v>
      </c>
      <c r="R20" s="17">
        <v>0.1</v>
      </c>
    </row>
    <row r="21" spans="2:18" x14ac:dyDescent="0.2">
      <c r="B21" s="11" t="s">
        <v>23</v>
      </c>
      <c r="E21" s="10">
        <v>239</v>
      </c>
      <c r="F21" s="10">
        <v>243</v>
      </c>
      <c r="G21" s="10">
        <v>239</v>
      </c>
      <c r="H21" s="6">
        <f t="shared" si="7"/>
        <v>240.33333333333334</v>
      </c>
      <c r="I21" s="6">
        <f t="shared" si="8"/>
        <v>240.7777777777778</v>
      </c>
      <c r="J21" s="6">
        <f t="shared" si="9"/>
        <v>240.03703703703707</v>
      </c>
      <c r="K21" s="6">
        <f t="shared" si="10"/>
        <v>240.38271604938276</v>
      </c>
      <c r="L21" s="6">
        <f t="shared" si="11"/>
        <v>240.39917695473255</v>
      </c>
      <c r="Q21" s="11"/>
    </row>
    <row r="22" spans="2:18" x14ac:dyDescent="0.2">
      <c r="B22" s="11" t="s">
        <v>25</v>
      </c>
      <c r="E22" s="10">
        <v>394</v>
      </c>
      <c r="F22" s="10">
        <v>387</v>
      </c>
      <c r="G22" s="10">
        <v>365</v>
      </c>
      <c r="H22" s="6">
        <f t="shared" si="7"/>
        <v>382</v>
      </c>
      <c r="I22" s="6">
        <f t="shared" si="8"/>
        <v>378</v>
      </c>
      <c r="J22" s="6">
        <f t="shared" si="9"/>
        <v>375</v>
      </c>
      <c r="K22" s="6">
        <f t="shared" si="10"/>
        <v>378.33333333333331</v>
      </c>
      <c r="L22" s="6">
        <f t="shared" si="11"/>
        <v>377.11111111111109</v>
      </c>
      <c r="Q22" s="11" t="s">
        <v>75</v>
      </c>
      <c r="R22" s="32">
        <f>R18+R19*(R20-R18)</f>
        <v>0.12335000000000002</v>
      </c>
    </row>
    <row r="23" spans="2:18" x14ac:dyDescent="0.2">
      <c r="B23" s="11" t="s">
        <v>26</v>
      </c>
      <c r="E23" s="10">
        <v>751</v>
      </c>
      <c r="F23" s="10">
        <v>944</v>
      </c>
      <c r="G23" s="10">
        <v>676</v>
      </c>
      <c r="H23" s="6">
        <f t="shared" si="7"/>
        <v>790.33333333333337</v>
      </c>
      <c r="I23" s="6">
        <f t="shared" si="8"/>
        <v>803.44444444444446</v>
      </c>
      <c r="J23" s="6">
        <f t="shared" si="9"/>
        <v>756.59259259259261</v>
      </c>
      <c r="K23" s="6">
        <f t="shared" si="10"/>
        <v>783.45679012345681</v>
      </c>
      <c r="L23" s="6">
        <f t="shared" si="11"/>
        <v>781.16460905349788</v>
      </c>
    </row>
    <row r="24" spans="2:18" x14ac:dyDescent="0.2">
      <c r="B24" s="11" t="s">
        <v>27</v>
      </c>
      <c r="E24" s="10">
        <v>98</v>
      </c>
      <c r="F24" s="10">
        <v>104</v>
      </c>
      <c r="G24" s="10">
        <v>107</v>
      </c>
      <c r="H24" s="6">
        <f t="shared" si="7"/>
        <v>103</v>
      </c>
      <c r="I24" s="6">
        <f t="shared" si="8"/>
        <v>104.66666666666667</v>
      </c>
      <c r="J24" s="6">
        <f t="shared" si="9"/>
        <v>104.8888888888889</v>
      </c>
      <c r="K24" s="6">
        <f t="shared" si="10"/>
        <v>104.1851851851852</v>
      </c>
      <c r="L24" s="6">
        <f t="shared" si="11"/>
        <v>104.58024691358025</v>
      </c>
    </row>
    <row r="25" spans="2:18" x14ac:dyDescent="0.2">
      <c r="B25" s="11" t="s">
        <v>28</v>
      </c>
      <c r="E25" s="10">
        <v>-14</v>
      </c>
      <c r="F25" s="10">
        <v>-7</v>
      </c>
      <c r="G25" s="10">
        <v>-5</v>
      </c>
      <c r="H25" s="6">
        <f t="shared" si="7"/>
        <v>-8.6666666666666661</v>
      </c>
      <c r="I25" s="6">
        <f t="shared" si="8"/>
        <v>-6.8888888888888884</v>
      </c>
      <c r="J25" s="6">
        <f t="shared" si="9"/>
        <v>-6.8518518518518512</v>
      </c>
      <c r="K25" s="6">
        <f t="shared" si="10"/>
        <v>-7.4691358024691352</v>
      </c>
      <c r="L25" s="6">
        <f t="shared" si="11"/>
        <v>-7.0699588477366255</v>
      </c>
      <c r="N25" s="2" t="s">
        <v>74</v>
      </c>
      <c r="R25" s="34">
        <f>(R15/(O15+R15)*R22)+(O15/(O15+R15)*O19*(1-O20))</f>
        <v>9.8059387229356171E-2</v>
      </c>
    </row>
    <row r="26" spans="2:18" s="2" customFormat="1" x14ac:dyDescent="0.2">
      <c r="B26" s="2" t="s">
        <v>29</v>
      </c>
      <c r="E26" s="13">
        <f>SUM(E18:E25)</f>
        <v>4711</v>
      </c>
      <c r="F26" s="13">
        <f>SUM(F18:F25)</f>
        <v>4994</v>
      </c>
      <c r="G26" s="13">
        <f>SUM(G18:G25)</f>
        <v>4670</v>
      </c>
      <c r="H26" s="13">
        <f t="shared" ref="H26:L26" si="12">SUM(H18:H25)</f>
        <v>4791.6666666666661</v>
      </c>
      <c r="I26" s="13">
        <f t="shared" si="12"/>
        <v>4818.5555555555566</v>
      </c>
      <c r="J26" s="13">
        <f t="shared" si="12"/>
        <v>4760.074074074073</v>
      </c>
      <c r="K26" s="13">
        <f t="shared" si="12"/>
        <v>4790.0987654320998</v>
      </c>
      <c r="L26" s="13">
        <f t="shared" si="12"/>
        <v>4789.5761316872431</v>
      </c>
    </row>
    <row r="28" spans="2:18" x14ac:dyDescent="0.2">
      <c r="B28" s="2" t="s">
        <v>92</v>
      </c>
      <c r="E28" s="13">
        <f>E15-E26+E23</f>
        <v>1427</v>
      </c>
      <c r="F28" s="13">
        <f t="shared" ref="F28:L28" si="13">F15-F26+F23</f>
        <v>1474</v>
      </c>
      <c r="G28" s="13">
        <f t="shared" si="13"/>
        <v>1475</v>
      </c>
      <c r="H28" s="13">
        <f t="shared" si="13"/>
        <v>1274.5666666666671</v>
      </c>
      <c r="I28" s="13">
        <f t="shared" si="13"/>
        <v>1260.7888888888874</v>
      </c>
      <c r="J28" s="13">
        <f t="shared" si="13"/>
        <v>1272.4185185185192</v>
      </c>
      <c r="K28" s="13">
        <f t="shared" si="13"/>
        <v>1368.637224691357</v>
      </c>
      <c r="L28" s="13">
        <f t="shared" si="13"/>
        <v>1506.5827163662543</v>
      </c>
    </row>
    <row r="30" spans="2:18" s="2" customFormat="1" x14ac:dyDescent="0.2">
      <c r="B30" s="2" t="s">
        <v>30</v>
      </c>
      <c r="E30" s="13">
        <f>E15-E26</f>
        <v>676</v>
      </c>
      <c r="F30" s="13">
        <f>F15-F26</f>
        <v>530</v>
      </c>
      <c r="G30" s="13">
        <f>G15-G26</f>
        <v>799</v>
      </c>
      <c r="H30" s="21">
        <f>H15-H26</f>
        <v>484.23333333333358</v>
      </c>
      <c r="I30" s="21">
        <f t="shared" ref="I30:L30" si="14">I15-I26</f>
        <v>457.34444444444307</v>
      </c>
      <c r="J30" s="21">
        <f t="shared" si="14"/>
        <v>515.82592592592664</v>
      </c>
      <c r="K30" s="21">
        <f t="shared" si="14"/>
        <v>585.18043456790019</v>
      </c>
      <c r="L30" s="21">
        <f t="shared" si="14"/>
        <v>725.41810731275655</v>
      </c>
    </row>
    <row r="32" spans="2:18" x14ac:dyDescent="0.2">
      <c r="B32" s="11" t="s">
        <v>31</v>
      </c>
      <c r="E32" s="10">
        <v>6</v>
      </c>
      <c r="F32" s="10">
        <v>15</v>
      </c>
      <c r="G32" s="10">
        <v>32</v>
      </c>
      <c r="H32" s="6">
        <f>AVERAGE(E32:G32)</f>
        <v>17.666666666666668</v>
      </c>
      <c r="I32" s="6">
        <f t="shared" ref="I32:L32" si="15">AVERAGE(F32:H32)</f>
        <v>21.555555555555557</v>
      </c>
      <c r="J32" s="6">
        <f t="shared" si="15"/>
        <v>23.740740740740744</v>
      </c>
      <c r="K32" s="6">
        <f t="shared" si="15"/>
        <v>20.987654320987659</v>
      </c>
      <c r="L32" s="6">
        <f t="shared" si="15"/>
        <v>22.094650205761322</v>
      </c>
    </row>
    <row r="33" spans="2:12" x14ac:dyDescent="0.2">
      <c r="B33" s="11" t="s">
        <v>32</v>
      </c>
      <c r="E33" s="10">
        <v>-167</v>
      </c>
      <c r="F33" s="10">
        <v>-176</v>
      </c>
      <c r="G33" s="10">
        <v>-222</v>
      </c>
      <c r="H33" s="6">
        <f t="shared" ref="H33:H36" si="16">AVERAGE(E33:G33)</f>
        <v>-188.33333333333334</v>
      </c>
      <c r="I33" s="6">
        <f t="shared" ref="I33:I36" si="17">AVERAGE(F33:H33)</f>
        <v>-195.44444444444446</v>
      </c>
      <c r="J33" s="6">
        <f t="shared" ref="J33:J36" si="18">AVERAGE(G33:I33)</f>
        <v>-201.92592592592595</v>
      </c>
      <c r="K33" s="6">
        <f t="shared" ref="K33:K36" si="19">AVERAGE(H33:J33)</f>
        <v>-195.23456790123461</v>
      </c>
      <c r="L33" s="6">
        <f t="shared" ref="L33:L36" si="20">AVERAGE(I33:K33)</f>
        <v>-197.53497942386835</v>
      </c>
    </row>
    <row r="34" spans="2:12" x14ac:dyDescent="0.2">
      <c r="B34" s="11" t="s">
        <v>33</v>
      </c>
      <c r="E34" s="10">
        <v>108</v>
      </c>
      <c r="F34" s="10">
        <v>902</v>
      </c>
      <c r="G34" s="10">
        <v>340</v>
      </c>
      <c r="H34" s="6">
        <f t="shared" si="16"/>
        <v>450</v>
      </c>
      <c r="I34" s="6">
        <f t="shared" si="17"/>
        <v>564</v>
      </c>
      <c r="J34" s="6">
        <f t="shared" si="18"/>
        <v>451.33333333333331</v>
      </c>
      <c r="K34" s="6">
        <f t="shared" si="19"/>
        <v>488.4444444444444</v>
      </c>
      <c r="L34" s="6">
        <f t="shared" si="20"/>
        <v>501.25925925925918</v>
      </c>
    </row>
    <row r="35" spans="2:12" x14ac:dyDescent="0.2">
      <c r="B35" s="11" t="s">
        <v>34</v>
      </c>
      <c r="E35" s="10">
        <v>-2</v>
      </c>
      <c r="F35" s="10">
        <v>0</v>
      </c>
      <c r="G35" s="10">
        <v>-1</v>
      </c>
      <c r="H35" s="6">
        <f t="shared" si="16"/>
        <v>-1</v>
      </c>
      <c r="I35" s="6">
        <f t="shared" si="17"/>
        <v>-0.66666666666666663</v>
      </c>
      <c r="J35" s="6">
        <f t="shared" si="18"/>
        <v>-0.88888888888888884</v>
      </c>
      <c r="K35" s="6">
        <f t="shared" si="19"/>
        <v>-0.85185185185185175</v>
      </c>
      <c r="L35" s="6">
        <f t="shared" si="20"/>
        <v>-0.80246913580246904</v>
      </c>
    </row>
    <row r="36" spans="2:12" x14ac:dyDescent="0.2">
      <c r="B36" s="11" t="s">
        <v>35</v>
      </c>
      <c r="E36" s="10">
        <v>30</v>
      </c>
      <c r="F36" s="10">
        <v>30</v>
      </c>
      <c r="G36" s="10">
        <v>14</v>
      </c>
      <c r="H36" s="6">
        <f t="shared" si="16"/>
        <v>24.666666666666668</v>
      </c>
      <c r="I36" s="6">
        <f t="shared" si="17"/>
        <v>22.888888888888889</v>
      </c>
      <c r="J36" s="6">
        <f t="shared" si="18"/>
        <v>20.518518518518519</v>
      </c>
      <c r="K36" s="6">
        <f t="shared" si="19"/>
        <v>22.691358024691358</v>
      </c>
      <c r="L36" s="6">
        <f t="shared" si="20"/>
        <v>22.032921810699587</v>
      </c>
    </row>
    <row r="38" spans="2:12" s="2" customFormat="1" x14ac:dyDescent="0.2">
      <c r="B38" s="2" t="s">
        <v>36</v>
      </c>
      <c r="E38" s="13">
        <f>E30+SUM(E32:E36)</f>
        <v>651</v>
      </c>
      <c r="F38" s="13">
        <f t="shared" ref="F38:L38" si="21">F30+SUM(F32:F36)</f>
        <v>1301</v>
      </c>
      <c r="G38" s="13">
        <f t="shared" si="21"/>
        <v>962</v>
      </c>
      <c r="H38" s="13">
        <f t="shared" si="21"/>
        <v>787.23333333333358</v>
      </c>
      <c r="I38" s="13">
        <f t="shared" si="21"/>
        <v>869.67777777777633</v>
      </c>
      <c r="J38" s="13">
        <f t="shared" si="21"/>
        <v>808.60370370370435</v>
      </c>
      <c r="K38" s="13">
        <f t="shared" si="21"/>
        <v>921.21747160493715</v>
      </c>
      <c r="L38" s="13">
        <f t="shared" si="21"/>
        <v>1072.4674900288057</v>
      </c>
    </row>
    <row r="40" spans="2:12" x14ac:dyDescent="0.2">
      <c r="B40" s="11" t="s">
        <v>37</v>
      </c>
      <c r="E40" s="10">
        <v>-80</v>
      </c>
      <c r="F40" s="10">
        <v>-150</v>
      </c>
      <c r="G40" s="10">
        <v>-30</v>
      </c>
      <c r="H40" s="10">
        <f>H38*H41*-1</f>
        <v>-55.106333333333353</v>
      </c>
      <c r="I40" s="10">
        <f t="shared" ref="I40:L40" si="22">I38*I41*-1</f>
        <v>-60.87744444444435</v>
      </c>
      <c r="J40" s="10">
        <f t="shared" si="22"/>
        <v>-56.602259259259313</v>
      </c>
      <c r="K40" s="10">
        <f t="shared" si="22"/>
        <v>-64.4852230123456</v>
      </c>
      <c r="L40" s="10">
        <f t="shared" si="22"/>
        <v>-75.072724302016411</v>
      </c>
    </row>
    <row r="41" spans="2:12" s="1" customFormat="1" x14ac:dyDescent="0.2">
      <c r="B41" s="1" t="s">
        <v>38</v>
      </c>
      <c r="E41" s="14">
        <f>-E40/E38</f>
        <v>0.12288786482334869</v>
      </c>
      <c r="F41" s="14">
        <f t="shared" ref="F41:G41" si="23">-F40/F38</f>
        <v>0.11529592621060722</v>
      </c>
      <c r="G41" s="14">
        <f t="shared" si="23"/>
        <v>3.1185031185031187E-2</v>
      </c>
      <c r="H41" s="22">
        <v>7.0000000000000007E-2</v>
      </c>
      <c r="I41" s="22">
        <v>7.0000000000000007E-2</v>
      </c>
      <c r="J41" s="22">
        <v>7.0000000000000007E-2</v>
      </c>
      <c r="K41" s="22">
        <v>7.0000000000000007E-2</v>
      </c>
      <c r="L41" s="22">
        <v>7.0000000000000007E-2</v>
      </c>
    </row>
    <row r="43" spans="2:12" s="2" customFormat="1" x14ac:dyDescent="0.2">
      <c r="B43" s="2" t="s">
        <v>39</v>
      </c>
      <c r="E43" s="13">
        <f>E38+E40</f>
        <v>571</v>
      </c>
      <c r="F43" s="13">
        <f t="shared" ref="F43:L43" si="24">F38+F40</f>
        <v>1151</v>
      </c>
      <c r="G43" s="13">
        <f t="shared" si="24"/>
        <v>932</v>
      </c>
      <c r="H43" s="13">
        <f t="shared" si="24"/>
        <v>732.12700000000018</v>
      </c>
      <c r="I43" s="13">
        <f t="shared" si="24"/>
        <v>808.80033333333199</v>
      </c>
      <c r="J43" s="13">
        <f t="shared" si="24"/>
        <v>752.00144444444504</v>
      </c>
      <c r="K43" s="13">
        <f t="shared" si="24"/>
        <v>856.73224859259153</v>
      </c>
      <c r="L43" s="13">
        <f t="shared" si="24"/>
        <v>997.39476572678927</v>
      </c>
    </row>
    <row r="45" spans="2:12" x14ac:dyDescent="0.2">
      <c r="B45" s="15" t="s">
        <v>40</v>
      </c>
    </row>
    <row r="46" spans="2:12" x14ac:dyDescent="0.2">
      <c r="B46" s="2" t="s">
        <v>41</v>
      </c>
      <c r="F46" s="16">
        <f>F15/E15-1</f>
        <v>2.543159457954336E-2</v>
      </c>
      <c r="G46" s="16">
        <f>G15/F15-1</f>
        <v>-9.9565532223027109E-3</v>
      </c>
      <c r="H46" s="20">
        <f t="shared" ref="H46:L46" si="25">H15/G15-1</f>
        <v>-3.530810020113373E-2</v>
      </c>
      <c r="I46" s="20">
        <f t="shared" si="25"/>
        <v>0</v>
      </c>
      <c r="J46" s="20">
        <f t="shared" si="25"/>
        <v>0</v>
      </c>
      <c r="K46" s="20">
        <f t="shared" si="25"/>
        <v>1.8836444966735533E-2</v>
      </c>
      <c r="L46" s="20">
        <f t="shared" si="25"/>
        <v>2.5992145487065965E-2</v>
      </c>
    </row>
    <row r="47" spans="2:12" x14ac:dyDescent="0.2">
      <c r="B47" s="11" t="s">
        <v>21</v>
      </c>
      <c r="F47" s="16">
        <f>F18/E18-1</f>
        <v>2.1134593993325845E-2</v>
      </c>
      <c r="G47" s="16">
        <f>G18/F18-1</f>
        <v>-4.9019607843137303E-2</v>
      </c>
      <c r="H47" s="17">
        <v>-0.03</v>
      </c>
      <c r="I47" s="17">
        <v>0</v>
      </c>
      <c r="J47" s="17">
        <v>0</v>
      </c>
      <c r="K47" s="17">
        <v>0.01</v>
      </c>
      <c r="L47" s="17">
        <v>0.02</v>
      </c>
    </row>
    <row r="48" spans="2:12" x14ac:dyDescent="0.2">
      <c r="B48" s="11" t="s">
        <v>22</v>
      </c>
      <c r="F48" s="16">
        <f>F13/E13-1</f>
        <v>3.5233824471492703E-2</v>
      </c>
      <c r="G48" s="16">
        <f>G13/F13-1</f>
        <v>1.9183168316831756E-2</v>
      </c>
      <c r="H48" s="17">
        <v>-0.05</v>
      </c>
      <c r="I48" s="17">
        <v>0</v>
      </c>
      <c r="J48" s="17">
        <v>0</v>
      </c>
      <c r="K48" s="17">
        <v>0.03</v>
      </c>
      <c r="L48" s="17">
        <v>0.03</v>
      </c>
    </row>
    <row r="49" spans="2:13" x14ac:dyDescent="0.2">
      <c r="B49" s="11" t="s">
        <v>18</v>
      </c>
      <c r="F49" s="16">
        <f>F14/E14-1</f>
        <v>7.4404761904761862E-2</v>
      </c>
      <c r="G49" s="16">
        <f>G14/F14-1</f>
        <v>8.3102493074792338E-2</v>
      </c>
      <c r="H49" s="17">
        <v>-0.02</v>
      </c>
      <c r="I49" s="17">
        <v>0</v>
      </c>
      <c r="J49" s="17">
        <v>0</v>
      </c>
      <c r="K49" s="17">
        <v>0.05</v>
      </c>
      <c r="L49" s="17">
        <v>0.06</v>
      </c>
      <c r="M49" s="16"/>
    </row>
    <row r="50" spans="2:13" x14ac:dyDescent="0.2">
      <c r="B50" s="2" t="s">
        <v>42</v>
      </c>
      <c r="F50" s="16">
        <f>F30/F15</f>
        <v>9.5944967414916732E-2</v>
      </c>
      <c r="G50" s="16">
        <f>G30/G15</f>
        <v>0.14609617846041323</v>
      </c>
      <c r="H50" s="16">
        <f t="shared" ref="H50:L50" si="26">H30/H15</f>
        <v>9.1782128799509768E-2</v>
      </c>
      <c r="I50" s="16">
        <f t="shared" si="26"/>
        <v>8.6685578658511939E-2</v>
      </c>
      <c r="J50" s="16">
        <f t="shared" si="26"/>
        <v>9.7770224213106133E-2</v>
      </c>
      <c r="K50" s="16">
        <f t="shared" si="26"/>
        <v>0.10886512361402552</v>
      </c>
      <c r="L50" s="16">
        <f t="shared" si="26"/>
        <v>0.13153560563724037</v>
      </c>
    </row>
    <row r="51" spans="2:13" x14ac:dyDescent="0.2">
      <c r="B51" s="11" t="s">
        <v>43</v>
      </c>
      <c r="F51" s="16">
        <f>F43/F15</f>
        <v>0.20836350470673426</v>
      </c>
      <c r="G51" s="16">
        <f>G43/G15</f>
        <v>0.17041506673980619</v>
      </c>
      <c r="H51" s="16">
        <f t="shared" ref="H51:L51" si="27">H43/H15</f>
        <v>0.13876817225497076</v>
      </c>
      <c r="I51" s="16">
        <f t="shared" si="27"/>
        <v>0.15330092180165128</v>
      </c>
      <c r="J51" s="16">
        <f t="shared" si="27"/>
        <v>0.1425351967331536</v>
      </c>
      <c r="K51" s="16">
        <f t="shared" si="27"/>
        <v>0.15938376718972877</v>
      </c>
      <c r="L51" s="16">
        <f t="shared" si="27"/>
        <v>0.18085146103573099</v>
      </c>
    </row>
    <row r="54" spans="2:13" x14ac:dyDescent="0.2">
      <c r="B54" s="2" t="s">
        <v>45</v>
      </c>
    </row>
    <row r="55" spans="2:13" x14ac:dyDescent="0.2">
      <c r="B55" s="11" t="s">
        <v>52</v>
      </c>
      <c r="F55" s="6">
        <f>F23</f>
        <v>944</v>
      </c>
      <c r="G55" s="6">
        <f t="shared" ref="G55:L55" si="28">G23</f>
        <v>676</v>
      </c>
      <c r="H55" s="6">
        <f t="shared" si="28"/>
        <v>790.33333333333337</v>
      </c>
      <c r="I55" s="6">
        <f t="shared" si="28"/>
        <v>803.44444444444446</v>
      </c>
      <c r="J55" s="6">
        <f t="shared" si="28"/>
        <v>756.59259259259261</v>
      </c>
      <c r="K55" s="6">
        <f t="shared" si="28"/>
        <v>783.45679012345681</v>
      </c>
      <c r="L55" s="6">
        <f t="shared" si="28"/>
        <v>781.16460905349788</v>
      </c>
    </row>
    <row r="56" spans="2:13" x14ac:dyDescent="0.2">
      <c r="B56" s="11" t="s">
        <v>47</v>
      </c>
      <c r="H56" s="6">
        <f>G69-H69</f>
        <v>9.0763018187385001</v>
      </c>
      <c r="I56" s="6">
        <f t="shared" ref="I56:L56" si="29">H69-I69</f>
        <v>1.5142993100167246</v>
      </c>
      <c r="J56" s="6">
        <f t="shared" si="29"/>
        <v>-3.2934967087002747</v>
      </c>
      <c r="K56" s="6">
        <f t="shared" si="29"/>
        <v>0.54610198532844834</v>
      </c>
      <c r="L56" s="6">
        <f t="shared" si="29"/>
        <v>-1.6388767956750598</v>
      </c>
    </row>
    <row r="57" spans="2:13" x14ac:dyDescent="0.2">
      <c r="B57" s="11" t="s">
        <v>48</v>
      </c>
      <c r="G57" s="12">
        <v>558</v>
      </c>
      <c r="H57" s="12">
        <v>575</v>
      </c>
      <c r="I57" s="26">
        <f>AVERAGE(G57:H57)</f>
        <v>566.5</v>
      </c>
      <c r="J57" s="26">
        <f t="shared" ref="J57:L57" si="30">AVERAGE(H57:I57)</f>
        <v>570.75</v>
      </c>
      <c r="K57" s="26">
        <f t="shared" si="30"/>
        <v>568.625</v>
      </c>
      <c r="L57" s="26">
        <f t="shared" si="30"/>
        <v>569.6875</v>
      </c>
    </row>
    <row r="59" spans="2:13" x14ac:dyDescent="0.2">
      <c r="B59" s="28" t="s">
        <v>44</v>
      </c>
      <c r="C59" s="28"/>
      <c r="D59" s="28"/>
      <c r="E59" s="28"/>
      <c r="F59" s="30">
        <f>F43+F55-F56-F57</f>
        <v>2095</v>
      </c>
      <c r="G59" s="30">
        <f t="shared" ref="G59:L59" si="31">G43+G55-G56-G57</f>
        <v>1050</v>
      </c>
      <c r="H59" s="29">
        <f t="shared" si="31"/>
        <v>938.38403151459488</v>
      </c>
      <c r="I59" s="29">
        <f t="shared" si="31"/>
        <v>1044.2304784677599</v>
      </c>
      <c r="J59" s="29">
        <f t="shared" si="31"/>
        <v>941.13753374573798</v>
      </c>
      <c r="K59" s="29">
        <f t="shared" si="31"/>
        <v>1071.0179367307198</v>
      </c>
      <c r="L59" s="29">
        <f t="shared" si="31"/>
        <v>1210.5107515759623</v>
      </c>
      <c r="M59" s="29">
        <f>L59*(1+E83)/(R25-E83)</f>
        <v>15817.712775269318</v>
      </c>
    </row>
    <row r="62" spans="2:13" x14ac:dyDescent="0.2">
      <c r="B62" s="2" t="s">
        <v>53</v>
      </c>
    </row>
    <row r="63" spans="2:13" x14ac:dyDescent="0.2">
      <c r="B63" s="23" t="s">
        <v>6</v>
      </c>
      <c r="C63" s="24"/>
      <c r="D63" s="24"/>
      <c r="E63" s="25" t="s">
        <v>7</v>
      </c>
      <c r="F63" s="25" t="s">
        <v>8</v>
      </c>
      <c r="G63" s="25" t="s">
        <v>9</v>
      </c>
      <c r="H63" s="25" t="s">
        <v>10</v>
      </c>
      <c r="I63" s="25" t="s">
        <v>11</v>
      </c>
      <c r="J63" s="25" t="s">
        <v>12</v>
      </c>
      <c r="K63" s="25" t="s">
        <v>13</v>
      </c>
      <c r="L63" s="25" t="s">
        <v>14</v>
      </c>
    </row>
    <row r="64" spans="2:13" x14ac:dyDescent="0.2">
      <c r="B64" s="11" t="s">
        <v>50</v>
      </c>
      <c r="F64" s="12">
        <v>71</v>
      </c>
      <c r="G64" s="12">
        <v>63</v>
      </c>
      <c r="H64" s="18">
        <f>H65*H15</f>
        <v>60.775589687328576</v>
      </c>
      <c r="I64" s="18">
        <f t="shared" ref="I64:L64" si="32">I65*I15</f>
        <v>60.775589687328576</v>
      </c>
      <c r="J64" s="18">
        <f t="shared" si="32"/>
        <v>60.775589687328576</v>
      </c>
      <c r="K64" s="18">
        <f t="shared" si="32"/>
        <v>61.920385737794845</v>
      </c>
      <c r="L64" s="18">
        <f t="shared" si="32"/>
        <v>63.529829412506857</v>
      </c>
    </row>
    <row r="65" spans="2:13" x14ac:dyDescent="0.2">
      <c r="B65" s="1" t="s">
        <v>54</v>
      </c>
      <c r="F65" s="27">
        <f>F64/F15</f>
        <v>1.2853005068790731E-2</v>
      </c>
      <c r="G65" s="27">
        <f>G64/G15</f>
        <v>1.151947339550192E-2</v>
      </c>
      <c r="H65" s="17">
        <f>G65</f>
        <v>1.151947339550192E-2</v>
      </c>
      <c r="I65" s="17">
        <f t="shared" ref="I65:L65" si="33">H65</f>
        <v>1.151947339550192E-2</v>
      </c>
      <c r="J65" s="17">
        <f t="shared" si="33"/>
        <v>1.151947339550192E-2</v>
      </c>
      <c r="K65" s="17">
        <f t="shared" si="33"/>
        <v>1.151947339550192E-2</v>
      </c>
      <c r="L65" s="17">
        <f t="shared" si="33"/>
        <v>1.151947339550192E-2</v>
      </c>
    </row>
    <row r="66" spans="2:13" x14ac:dyDescent="0.2">
      <c r="B66" s="11" t="s">
        <v>51</v>
      </c>
      <c r="F66" s="12">
        <v>293</v>
      </c>
      <c r="G66" s="12">
        <v>263</v>
      </c>
      <c r="H66" s="18">
        <f>H67*H26</f>
        <v>269.85189150606709</v>
      </c>
      <c r="I66" s="18">
        <f t="shared" ref="I66:L66" si="34">I67*I26</f>
        <v>271.36619081608382</v>
      </c>
      <c r="J66" s="18">
        <f t="shared" si="34"/>
        <v>268.07269410738354</v>
      </c>
      <c r="K66" s="18">
        <f t="shared" si="34"/>
        <v>269.76359214317824</v>
      </c>
      <c r="L66" s="18">
        <f t="shared" si="34"/>
        <v>269.73415902221518</v>
      </c>
    </row>
    <row r="67" spans="2:13" x14ac:dyDescent="0.2">
      <c r="B67" s="1" t="s">
        <v>55</v>
      </c>
      <c r="F67" s="27">
        <f>F66/F26</f>
        <v>5.8670404485382459E-2</v>
      </c>
      <c r="G67" s="27">
        <f>G66/G26</f>
        <v>5.63169164882227E-2</v>
      </c>
      <c r="H67" s="17">
        <f>G67</f>
        <v>5.63169164882227E-2</v>
      </c>
      <c r="I67" s="17">
        <f t="shared" ref="I67:L67" si="35">H67</f>
        <v>5.63169164882227E-2</v>
      </c>
      <c r="J67" s="17">
        <f t="shared" si="35"/>
        <v>5.63169164882227E-2</v>
      </c>
      <c r="K67" s="17">
        <f t="shared" si="35"/>
        <v>5.63169164882227E-2</v>
      </c>
      <c r="L67" s="17">
        <f t="shared" si="35"/>
        <v>5.63169164882227E-2</v>
      </c>
    </row>
    <row r="68" spans="2:13" x14ac:dyDescent="0.2">
      <c r="F68" s="12"/>
      <c r="G68" s="12"/>
    </row>
    <row r="69" spans="2:13" x14ac:dyDescent="0.2">
      <c r="B69" s="1" t="s">
        <v>49</v>
      </c>
      <c r="F69" s="10">
        <f>F64-F66</f>
        <v>-222</v>
      </c>
      <c r="G69" s="10">
        <f t="shared" ref="G69:L69" si="36">G64-G66</f>
        <v>-200</v>
      </c>
      <c r="H69" s="10">
        <f t="shared" si="36"/>
        <v>-209.0763018187385</v>
      </c>
      <c r="I69" s="10">
        <f t="shared" si="36"/>
        <v>-210.59060112875522</v>
      </c>
      <c r="J69" s="10">
        <f t="shared" si="36"/>
        <v>-207.29710442005495</v>
      </c>
      <c r="K69" s="10">
        <f t="shared" si="36"/>
        <v>-207.8432064053834</v>
      </c>
      <c r="L69" s="10">
        <f t="shared" si="36"/>
        <v>-206.20432960970834</v>
      </c>
    </row>
    <row r="72" spans="2:13" x14ac:dyDescent="0.2">
      <c r="B72" s="2" t="s">
        <v>76</v>
      </c>
    </row>
    <row r="73" spans="2:13" x14ac:dyDescent="0.2">
      <c r="B73" s="23" t="s">
        <v>6</v>
      </c>
      <c r="C73" s="24"/>
      <c r="D73" s="24"/>
      <c r="E73" s="25"/>
      <c r="F73" s="25"/>
      <c r="G73" s="25"/>
      <c r="H73" s="25" t="s">
        <v>10</v>
      </c>
      <c r="I73" s="25" t="s">
        <v>11</v>
      </c>
      <c r="J73" s="25" t="s">
        <v>12</v>
      </c>
      <c r="K73" s="25" t="s">
        <v>13</v>
      </c>
      <c r="L73" s="25" t="s">
        <v>14</v>
      </c>
      <c r="M73" s="36" t="s">
        <v>81</v>
      </c>
    </row>
    <row r="74" spans="2:13" x14ac:dyDescent="0.2">
      <c r="M74" t="s">
        <v>46</v>
      </c>
    </row>
    <row r="75" spans="2:13" x14ac:dyDescent="0.2">
      <c r="B75" s="11" t="s">
        <v>77</v>
      </c>
      <c r="H75" s="12">
        <v>1</v>
      </c>
      <c r="I75" s="12">
        <v>2</v>
      </c>
      <c r="J75" s="12">
        <v>3</v>
      </c>
      <c r="K75" s="12">
        <v>4</v>
      </c>
      <c r="L75" s="12">
        <v>5</v>
      </c>
    </row>
    <row r="76" spans="2:13" x14ac:dyDescent="0.2">
      <c r="B76" s="11" t="s">
        <v>78</v>
      </c>
      <c r="H76" s="33">
        <f>$R$25</f>
        <v>9.8059387229356171E-2</v>
      </c>
      <c r="I76" s="33">
        <f>H76</f>
        <v>9.8059387229356171E-2</v>
      </c>
      <c r="J76" s="33">
        <f t="shared" ref="J76:L76" si="37">I76</f>
        <v>9.8059387229356171E-2</v>
      </c>
      <c r="K76" s="33">
        <f t="shared" si="37"/>
        <v>9.8059387229356171E-2</v>
      </c>
      <c r="L76" s="33">
        <f t="shared" si="37"/>
        <v>9.8059387229356171E-2</v>
      </c>
    </row>
    <row r="78" spans="2:13" x14ac:dyDescent="0.2">
      <c r="B78" s="2" t="s">
        <v>79</v>
      </c>
      <c r="C78" s="2"/>
      <c r="D78" s="2"/>
      <c r="E78" s="2"/>
      <c r="F78" s="2"/>
      <c r="G78" s="2"/>
      <c r="H78" s="21">
        <f>H59/POWER((1+H76),H75)</f>
        <v>854.58404383968957</v>
      </c>
      <c r="I78" s="21">
        <f t="shared" ref="I78:L78" si="38">I59/POWER((1+I76),I75)</f>
        <v>866.05347162737553</v>
      </c>
      <c r="J78" s="21">
        <f t="shared" si="38"/>
        <v>710.84613566601877</v>
      </c>
      <c r="K78" s="21">
        <f t="shared" si="38"/>
        <v>736.70467868481637</v>
      </c>
      <c r="L78" s="21">
        <f t="shared" si="38"/>
        <v>758.29729347201021</v>
      </c>
      <c r="M78" s="21">
        <f>M59/(POWER(1+R25,L75))</f>
        <v>9908.6511795031165</v>
      </c>
    </row>
    <row r="81" spans="2:5" x14ac:dyDescent="0.2">
      <c r="B81" s="2"/>
    </row>
    <row r="83" spans="2:5" x14ac:dyDescent="0.2">
      <c r="B83" s="11" t="s">
        <v>80</v>
      </c>
      <c r="E83" s="39">
        <v>0.02</v>
      </c>
    </row>
    <row r="86" spans="2:5" x14ac:dyDescent="0.2">
      <c r="B86" s="37" t="s">
        <v>83</v>
      </c>
      <c r="C86" s="8"/>
      <c r="D86" s="8"/>
    </row>
    <row r="87" spans="2:5" x14ac:dyDescent="0.2">
      <c r="B87" s="11" t="s">
        <v>82</v>
      </c>
      <c r="D87" s="18">
        <f>SUM(H78:M78)</f>
        <v>13835.136802793026</v>
      </c>
    </row>
    <row r="88" spans="2:5" x14ac:dyDescent="0.2">
      <c r="B88" s="11" t="s">
        <v>84</v>
      </c>
      <c r="D88" s="12">
        <f>O15</f>
        <v>3803</v>
      </c>
    </row>
    <row r="89" spans="2:5" x14ac:dyDescent="0.2">
      <c r="B89" s="11" t="s">
        <v>85</v>
      </c>
      <c r="D89" s="12">
        <v>1573</v>
      </c>
    </row>
    <row r="90" spans="2:5" x14ac:dyDescent="0.2">
      <c r="B90" s="11" t="s">
        <v>86</v>
      </c>
      <c r="D90" s="12">
        <v>0</v>
      </c>
    </row>
    <row r="91" spans="2:5" x14ac:dyDescent="0.2">
      <c r="B91" s="11" t="s">
        <v>87</v>
      </c>
      <c r="D91" s="12">
        <v>0</v>
      </c>
    </row>
    <row r="93" spans="2:5" x14ac:dyDescent="0.2">
      <c r="B93" s="11" t="s">
        <v>88</v>
      </c>
      <c r="D93" s="18">
        <f>D87-D88+D89-D90-D91</f>
        <v>11605.136802793026</v>
      </c>
    </row>
    <row r="94" spans="2:5" x14ac:dyDescent="0.2">
      <c r="B94" s="11" t="s">
        <v>89</v>
      </c>
      <c r="D94" s="12">
        <v>740</v>
      </c>
    </row>
    <row r="95" spans="2:5" ht="17" thickBot="1" x14ac:dyDescent="0.25"/>
    <row r="96" spans="2:5" x14ac:dyDescent="0.2">
      <c r="B96" s="40" t="s">
        <v>90</v>
      </c>
      <c r="C96" s="41"/>
      <c r="D96" s="42">
        <f>D93/D94</f>
        <v>15.682617301071657</v>
      </c>
    </row>
    <row r="97" spans="2:4" ht="17" thickBot="1" x14ac:dyDescent="0.25">
      <c r="B97" s="43" t="s">
        <v>91</v>
      </c>
      <c r="C97" s="44"/>
      <c r="D97" s="45">
        <f>D96/D5-1</f>
        <v>0.31345203526563292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Upadhyay</dc:creator>
  <cp:lastModifiedBy>Satish Upadhyay</cp:lastModifiedBy>
  <dcterms:created xsi:type="dcterms:W3CDTF">2020-09-04T18:18:24Z</dcterms:created>
  <dcterms:modified xsi:type="dcterms:W3CDTF">2020-09-06T01:35:48Z</dcterms:modified>
</cp:coreProperties>
</file>