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Desktop/"/>
    </mc:Choice>
  </mc:AlternateContent>
  <xr:revisionPtr revIDLastSave="0" documentId="13_ncr:1_{23726DC5-A899-0D47-994F-3DAB9613B08E}" xr6:coauthVersionLast="45" xr6:coauthVersionMax="45" xr10:uidLastSave="{00000000-0000-0000-0000-000000000000}"/>
  <bookViews>
    <workbookView xWindow="0" yWindow="0" windowWidth="38400" windowHeight="16000" xr2:uid="{65DD9335-D5D9-D548-9F64-A88D3F1B2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" i="1" l="1"/>
  <c r="H110" i="1"/>
  <c r="I110" i="1"/>
  <c r="J110" i="1"/>
  <c r="K110" i="1"/>
  <c r="G110" i="1"/>
  <c r="G34" i="1"/>
  <c r="D55" i="1"/>
  <c r="E55" i="1"/>
  <c r="F55" i="1"/>
  <c r="C55" i="1"/>
  <c r="E28" i="1"/>
  <c r="F28" i="1"/>
  <c r="D28" i="1"/>
  <c r="E15" i="1"/>
  <c r="F15" i="1"/>
  <c r="D15" i="1"/>
  <c r="H92" i="1" l="1"/>
  <c r="C130" i="1"/>
  <c r="F115" i="1"/>
  <c r="C129" i="1" s="1"/>
  <c r="F114" i="1"/>
  <c r="F116" i="1" s="1"/>
  <c r="C117" i="1" l="1"/>
  <c r="G92" i="1" l="1"/>
  <c r="G25" i="1"/>
  <c r="G104" i="1"/>
  <c r="G105" i="1"/>
  <c r="G107" i="1"/>
  <c r="E107" i="1"/>
  <c r="F107" i="1"/>
  <c r="E104" i="1"/>
  <c r="F104" i="1"/>
  <c r="E105" i="1"/>
  <c r="F105" i="1"/>
  <c r="D107" i="1"/>
  <c r="D105" i="1"/>
  <c r="D104" i="1"/>
  <c r="D82" i="1"/>
  <c r="D86" i="1" s="1"/>
  <c r="E82" i="1"/>
  <c r="E86" i="1" s="1"/>
  <c r="F82" i="1"/>
  <c r="F86" i="1" s="1"/>
  <c r="E69" i="1"/>
  <c r="E75" i="1" s="1"/>
  <c r="F69" i="1"/>
  <c r="F75" i="1" s="1"/>
  <c r="D69" i="1"/>
  <c r="D75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0" i="1"/>
  <c r="H10" i="1" s="1"/>
  <c r="I10" i="1" s="1"/>
  <c r="J10" i="1" s="1"/>
  <c r="K10" i="1" s="1"/>
  <c r="E45" i="1"/>
  <c r="F45" i="1"/>
  <c r="E44" i="1"/>
  <c r="F44" i="1"/>
  <c r="E43" i="1"/>
  <c r="F43" i="1"/>
  <c r="D45" i="1"/>
  <c r="D44" i="1"/>
  <c r="D43" i="1"/>
  <c r="E42" i="1"/>
  <c r="F42" i="1"/>
  <c r="D42" i="1"/>
  <c r="D22" i="1"/>
  <c r="D27" i="1" s="1"/>
  <c r="E22" i="1"/>
  <c r="E27" i="1" s="1"/>
  <c r="E102" i="1" s="1"/>
  <c r="F22" i="1"/>
  <c r="F27" i="1" s="1"/>
  <c r="F102" i="1" s="1"/>
  <c r="C22" i="1"/>
  <c r="C27" i="1" s="1"/>
  <c r="F14" i="1"/>
  <c r="E14" i="1"/>
  <c r="E101" i="1" s="1"/>
  <c r="E103" i="1" s="1"/>
  <c r="D14" i="1"/>
  <c r="C14" i="1"/>
  <c r="I92" i="1" l="1"/>
  <c r="J92" i="1" s="1"/>
  <c r="H107" i="1"/>
  <c r="G69" i="1"/>
  <c r="H25" i="1"/>
  <c r="H105" i="1" s="1"/>
  <c r="D41" i="1"/>
  <c r="F41" i="1"/>
  <c r="F101" i="1"/>
  <c r="F103" i="1" s="1"/>
  <c r="G82" i="1"/>
  <c r="K92" i="1"/>
  <c r="K107" i="1" s="1"/>
  <c r="J107" i="1"/>
  <c r="I107" i="1"/>
  <c r="K14" i="1"/>
  <c r="E41" i="1"/>
  <c r="F30" i="1"/>
  <c r="D30" i="1"/>
  <c r="I14" i="1"/>
  <c r="G14" i="1"/>
  <c r="F48" i="1"/>
  <c r="D48" i="1"/>
  <c r="F50" i="1"/>
  <c r="D50" i="1"/>
  <c r="F93" i="1"/>
  <c r="D101" i="1"/>
  <c r="C30" i="1"/>
  <c r="E30" i="1"/>
  <c r="J14" i="1"/>
  <c r="H14" i="1"/>
  <c r="C48" i="1"/>
  <c r="E48" i="1"/>
  <c r="C50" i="1"/>
  <c r="E50" i="1"/>
  <c r="D93" i="1"/>
  <c r="D95" i="1" s="1"/>
  <c r="D106" i="1" s="1"/>
  <c r="E93" i="1"/>
  <c r="D102" i="1"/>
  <c r="J101" i="1" l="1"/>
  <c r="J15" i="1"/>
  <c r="I101" i="1"/>
  <c r="I15" i="1"/>
  <c r="K101" i="1"/>
  <c r="K15" i="1"/>
  <c r="H101" i="1"/>
  <c r="H15" i="1"/>
  <c r="G27" i="1"/>
  <c r="G15" i="1"/>
  <c r="E95" i="1"/>
  <c r="E106" i="1" s="1"/>
  <c r="E109" i="1" s="1"/>
  <c r="G93" i="1"/>
  <c r="G95" i="1" s="1"/>
  <c r="G106" i="1" s="1"/>
  <c r="C36" i="1"/>
  <c r="C47" i="1" s="1"/>
  <c r="C120" i="1"/>
  <c r="F36" i="1"/>
  <c r="F47" i="1" s="1"/>
  <c r="K22" i="1"/>
  <c r="D103" i="1"/>
  <c r="D109" i="1" s="1"/>
  <c r="G101" i="1"/>
  <c r="D36" i="1"/>
  <c r="D47" i="1" s="1"/>
  <c r="K27" i="1"/>
  <c r="H82" i="1"/>
  <c r="I82" i="1" s="1"/>
  <c r="J82" i="1" s="1"/>
  <c r="K82" i="1" s="1"/>
  <c r="H69" i="1"/>
  <c r="H93" i="1" s="1"/>
  <c r="H95" i="1" s="1"/>
  <c r="H106" i="1" s="1"/>
  <c r="I25" i="1"/>
  <c r="E36" i="1"/>
  <c r="E47" i="1" s="1"/>
  <c r="I41" i="1"/>
  <c r="H27" i="1"/>
  <c r="H41" i="1"/>
  <c r="H22" i="1"/>
  <c r="E52" i="1"/>
  <c r="E53" i="1"/>
  <c r="E49" i="1"/>
  <c r="G102" i="1"/>
  <c r="G103" i="1" s="1"/>
  <c r="G22" i="1"/>
  <c r="G41" i="1"/>
  <c r="D53" i="1"/>
  <c r="D49" i="1"/>
  <c r="D52" i="1"/>
  <c r="K41" i="1"/>
  <c r="J27" i="1"/>
  <c r="J22" i="1"/>
  <c r="J41" i="1"/>
  <c r="C52" i="1"/>
  <c r="C49" i="1"/>
  <c r="C53" i="1"/>
  <c r="F95" i="1"/>
  <c r="F106" i="1" s="1"/>
  <c r="F109" i="1" s="1"/>
  <c r="I22" i="1"/>
  <c r="I27" i="1"/>
  <c r="F53" i="1"/>
  <c r="F49" i="1"/>
  <c r="F52" i="1"/>
  <c r="C119" i="1" s="1"/>
  <c r="I102" i="1" l="1"/>
  <c r="I103" i="1" s="1"/>
  <c r="I30" i="1"/>
  <c r="I32" i="1" s="1"/>
  <c r="I28" i="1"/>
  <c r="J102" i="1"/>
  <c r="J103" i="1" s="1"/>
  <c r="J28" i="1"/>
  <c r="J30" i="1"/>
  <c r="J31" i="1" s="1"/>
  <c r="K102" i="1"/>
  <c r="K103" i="1" s="1"/>
  <c r="K30" i="1"/>
  <c r="K49" i="1" s="1"/>
  <c r="K28" i="1"/>
  <c r="H102" i="1"/>
  <c r="H103" i="1" s="1"/>
  <c r="H28" i="1"/>
  <c r="H30" i="1"/>
  <c r="G30" i="1"/>
  <c r="G28" i="1"/>
  <c r="G109" i="1"/>
  <c r="J25" i="1"/>
  <c r="J105" i="1" s="1"/>
  <c r="I105" i="1"/>
  <c r="I69" i="1"/>
  <c r="G31" i="1"/>
  <c r="H49" i="1"/>
  <c r="H32" i="1" l="1"/>
  <c r="H31" i="1"/>
  <c r="G32" i="1"/>
  <c r="G49" i="1"/>
  <c r="K31" i="1"/>
  <c r="K32" i="1"/>
  <c r="J32" i="1"/>
  <c r="J49" i="1"/>
  <c r="J69" i="1"/>
  <c r="I93" i="1"/>
  <c r="I95" i="1" s="1"/>
  <c r="I106" i="1" s="1"/>
  <c r="I31" i="1"/>
  <c r="I49" i="1"/>
  <c r="K25" i="1"/>
  <c r="K105" i="1" s="1"/>
  <c r="K69" i="1" l="1"/>
  <c r="K93" i="1" s="1"/>
  <c r="J93" i="1"/>
  <c r="J95" i="1" s="1"/>
  <c r="J106" i="1" s="1"/>
  <c r="K95" i="1" l="1"/>
  <c r="K106" i="1" s="1"/>
  <c r="K34" i="1"/>
  <c r="K36" i="1" s="1"/>
  <c r="K47" i="1" s="1"/>
  <c r="I34" i="1"/>
  <c r="I36" i="1" s="1"/>
  <c r="I47" i="1" s="1"/>
  <c r="H104" i="1"/>
  <c r="H109" i="1" s="1"/>
  <c r="G36" i="1"/>
  <c r="G47" i="1" s="1"/>
  <c r="J34" i="1"/>
  <c r="K104" i="1" s="1"/>
  <c r="K109" i="1" s="1"/>
  <c r="H34" i="1"/>
  <c r="I104" i="1" s="1"/>
  <c r="I109" i="1" s="1"/>
  <c r="H36" i="1" l="1"/>
  <c r="H47" i="1" s="1"/>
  <c r="L109" i="1"/>
  <c r="L110" i="1" s="1"/>
  <c r="J104" i="1"/>
  <c r="J109" i="1" s="1"/>
  <c r="J36" i="1"/>
  <c r="J47" i="1" s="1"/>
  <c r="C128" i="1" l="1"/>
  <c r="C134" i="1" s="1"/>
  <c r="C137" i="1" s="1"/>
  <c r="C138" i="1" s="1"/>
</calcChain>
</file>

<file path=xl/sharedStrings.xml><?xml version="1.0" encoding="utf-8"?>
<sst xmlns="http://schemas.openxmlformats.org/spreadsheetml/2006/main" count="164" uniqueCount="114">
  <si>
    <t xml:space="preserve">RCI Hospitality </t>
  </si>
  <si>
    <t xml:space="preserve">Income Statement </t>
  </si>
  <si>
    <t>Fiscal Year</t>
  </si>
  <si>
    <t>2017A</t>
  </si>
  <si>
    <t xml:space="preserve">2018A </t>
  </si>
  <si>
    <t>2019A</t>
  </si>
  <si>
    <t>2020P</t>
  </si>
  <si>
    <t>2021P</t>
  </si>
  <si>
    <t>2022P</t>
  </si>
  <si>
    <t>2023P</t>
  </si>
  <si>
    <t>2024P</t>
  </si>
  <si>
    <t xml:space="preserve"> </t>
  </si>
  <si>
    <t>2016A</t>
  </si>
  <si>
    <t>Revenues</t>
  </si>
  <si>
    <t xml:space="preserve">Total Revenue </t>
  </si>
  <si>
    <t>Operating Expenses</t>
  </si>
  <si>
    <t xml:space="preserve">   Sales of Food and merchandise</t>
  </si>
  <si>
    <t xml:space="preserve">   Service Revenues</t>
  </si>
  <si>
    <t xml:space="preserve">   Sales of Alcoholic Beverages</t>
  </si>
  <si>
    <t xml:space="preserve">   Other </t>
  </si>
  <si>
    <t xml:space="preserve">   Cost of Goods Sold </t>
  </si>
  <si>
    <t xml:space="preserve">      Alcoholic Beverages Sold</t>
  </si>
  <si>
    <t xml:space="preserve">      Food and Merchandise Sold</t>
  </si>
  <si>
    <t xml:space="preserve">      Service and Other</t>
  </si>
  <si>
    <t xml:space="preserve">   Total Cost of Goods Sold</t>
  </si>
  <si>
    <t xml:space="preserve">   Salaries &amp; Wages</t>
  </si>
  <si>
    <t xml:space="preserve">   Selling General &amp; Administrative</t>
  </si>
  <si>
    <t xml:space="preserve">   Depreciation &amp; Amortization </t>
  </si>
  <si>
    <t xml:space="preserve">   Other Charges Net</t>
  </si>
  <si>
    <t xml:space="preserve">Total Operating Expenses </t>
  </si>
  <si>
    <t xml:space="preserve">Gross Profit </t>
  </si>
  <si>
    <t>Interest Expense</t>
  </si>
  <si>
    <t xml:space="preserve">Interest Income </t>
  </si>
  <si>
    <t>EBIT</t>
  </si>
  <si>
    <t>Tax Expense</t>
  </si>
  <si>
    <t xml:space="preserve">Net Income </t>
  </si>
  <si>
    <t>Unrealized Loss on Equity Securities</t>
  </si>
  <si>
    <t>Growth Rate and Margin</t>
  </si>
  <si>
    <t xml:space="preserve">Revenue Growth Rates </t>
  </si>
  <si>
    <t xml:space="preserve">   Alcoholic Beverages</t>
  </si>
  <si>
    <t xml:space="preserve">   Food and Merchandise </t>
  </si>
  <si>
    <t xml:space="preserve">   Service Revenue</t>
  </si>
  <si>
    <t xml:space="preserve">   Other</t>
  </si>
  <si>
    <t>Net Income / Sales</t>
  </si>
  <si>
    <t xml:space="preserve">Cost of Goods Sold / Sales </t>
  </si>
  <si>
    <t>Gross Profit / Sales</t>
  </si>
  <si>
    <t>Operating Expenses/Sales</t>
  </si>
  <si>
    <t>Interest Rate</t>
  </si>
  <si>
    <t>Tax Rate</t>
  </si>
  <si>
    <t>x</t>
  </si>
  <si>
    <t>Balance Sheet</t>
  </si>
  <si>
    <t>ASSETS</t>
  </si>
  <si>
    <t xml:space="preserve">   Current Assets</t>
  </si>
  <si>
    <t xml:space="preserve">       Cash and Cash Equivalents</t>
  </si>
  <si>
    <t xml:space="preserve">      Accounts Receivable, net</t>
  </si>
  <si>
    <t xml:space="preserve">      Inventories</t>
  </si>
  <si>
    <t xml:space="preserve">      Current portion of notes Receivable</t>
  </si>
  <si>
    <t xml:space="preserve">      Prepaid Insurance </t>
  </si>
  <si>
    <t xml:space="preserve">      Other current assets</t>
  </si>
  <si>
    <t xml:space="preserve">    Total Current Assets</t>
  </si>
  <si>
    <t>Property and Equipment, net</t>
  </si>
  <si>
    <t xml:space="preserve">      Assets held for sale</t>
  </si>
  <si>
    <t>Notes Receivables</t>
  </si>
  <si>
    <t>Goodwill</t>
  </si>
  <si>
    <t>Intangibles, net</t>
  </si>
  <si>
    <t>Other Assets</t>
  </si>
  <si>
    <t xml:space="preserve">   Total Assets</t>
  </si>
  <si>
    <t>LIABILITIES &amp; EQUITY</t>
  </si>
  <si>
    <t xml:space="preserve">   Current Liabilites</t>
  </si>
  <si>
    <t xml:space="preserve">      Accounts payable</t>
  </si>
  <si>
    <t xml:space="preserve">      Accrued liabilites</t>
  </si>
  <si>
    <t xml:space="preserve">      Current portion of long term Debt</t>
  </si>
  <si>
    <t xml:space="preserve">   Total Current Liabilites</t>
  </si>
  <si>
    <t>Deferred tax liabilites, net</t>
  </si>
  <si>
    <t>Long-term debt, net of current portion</t>
  </si>
  <si>
    <t>Other long term liabilities</t>
  </si>
  <si>
    <t xml:space="preserve">   Total Liabilities</t>
  </si>
  <si>
    <t>Total Stockholders' Equity</t>
  </si>
  <si>
    <t>Net Working Capital</t>
  </si>
  <si>
    <t>Capital Expendiure &amp; Net Working Capital</t>
  </si>
  <si>
    <t>Change in NWC</t>
  </si>
  <si>
    <t>Free Cash Flow</t>
  </si>
  <si>
    <t xml:space="preserve">Revenue </t>
  </si>
  <si>
    <t>Expenses</t>
  </si>
  <si>
    <t>Taxes</t>
  </si>
  <si>
    <t>Depreciation &amp; Amortization</t>
  </si>
  <si>
    <t>Capital Expenditure</t>
  </si>
  <si>
    <t xml:space="preserve">$ in thousands except per share </t>
  </si>
  <si>
    <t xml:space="preserve">x </t>
  </si>
  <si>
    <t xml:space="preserve">WACC </t>
  </si>
  <si>
    <t>T</t>
  </si>
  <si>
    <t>g</t>
  </si>
  <si>
    <t>Equity Value</t>
  </si>
  <si>
    <t>Implied Equity Value</t>
  </si>
  <si>
    <t>Risk Free Rate</t>
  </si>
  <si>
    <t>Beta</t>
  </si>
  <si>
    <t>Market Return</t>
  </si>
  <si>
    <t>Cost of Equity</t>
  </si>
  <si>
    <t>Total Equity</t>
  </si>
  <si>
    <t>Total Debt</t>
  </si>
  <si>
    <t>Total</t>
  </si>
  <si>
    <t>WACC</t>
  </si>
  <si>
    <t>Present Value of FCF</t>
  </si>
  <si>
    <t>Year</t>
  </si>
  <si>
    <t>Enterprise Value</t>
  </si>
  <si>
    <t>Book Value of Debt</t>
  </si>
  <si>
    <t>Cash</t>
  </si>
  <si>
    <t xml:space="preserve">Preferred </t>
  </si>
  <si>
    <t>Minority</t>
  </si>
  <si>
    <t>Total Shares Outstanding</t>
  </si>
  <si>
    <t>Implied Equity Price Per Share</t>
  </si>
  <si>
    <t>Upside</t>
  </si>
  <si>
    <t>Current Share Price</t>
  </si>
  <si>
    <t xml:space="preserve">   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</si>
</sst>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Font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  <xf numFmtId="38" fontId="4" fillId="0" borderId="0" xfId="0" applyNumberFormat="1" applyFont="1"/>
    <xf numFmtId="38" fontId="0" fillId="0" borderId="0" xfId="0" applyNumberFormat="1"/>
    <xf numFmtId="38" fontId="1" fillId="0" borderId="0" xfId="0" applyNumberFormat="1" applyFont="1"/>
    <xf numFmtId="3" fontId="1" fillId="0" borderId="0" xfId="0" applyNumberFormat="1" applyFont="1"/>
    <xf numFmtId="9" fontId="0" fillId="0" borderId="0" xfId="0" applyNumberFormat="1" applyFont="1"/>
    <xf numFmtId="9" fontId="4" fillId="0" borderId="0" xfId="0" applyNumberFormat="1" applyFont="1"/>
    <xf numFmtId="9" fontId="0" fillId="0" borderId="0" xfId="0" applyNumberFormat="1"/>
    <xf numFmtId="9" fontId="5" fillId="0" borderId="0" xfId="0" applyNumberFormat="1" applyFont="1"/>
    <xf numFmtId="1" fontId="0" fillId="0" borderId="0" xfId="0" applyNumberFormat="1"/>
    <xf numFmtId="3" fontId="6" fillId="0" borderId="0" xfId="0" applyNumberFormat="1" applyFont="1"/>
    <xf numFmtId="0" fontId="1" fillId="0" borderId="1" xfId="0" applyFont="1" applyBorder="1"/>
    <xf numFmtId="0" fontId="7" fillId="0" borderId="0" xfId="0" applyFont="1"/>
    <xf numFmtId="0" fontId="1" fillId="0" borderId="0" xfId="0" applyFont="1" applyAlignment="1">
      <alignment horizontal="center"/>
    </xf>
    <xf numFmtId="3" fontId="8" fillId="0" borderId="0" xfId="0" applyNumberFormat="1" applyFont="1"/>
    <xf numFmtId="1" fontId="4" fillId="0" borderId="0" xfId="0" applyNumberFormat="1" applyFont="1"/>
    <xf numFmtId="1" fontId="1" fillId="0" borderId="0" xfId="0" applyNumberFormat="1" applyFont="1"/>
    <xf numFmtId="10" fontId="4" fillId="0" borderId="0" xfId="0" applyNumberFormat="1" applyFont="1"/>
    <xf numFmtId="9" fontId="1" fillId="0" borderId="0" xfId="2" applyFont="1"/>
    <xf numFmtId="9" fontId="1" fillId="0" borderId="0" xfId="0" applyNumberFormat="1" applyFont="1"/>
    <xf numFmtId="44" fontId="0" fillId="0" borderId="0" xfId="1" applyFont="1"/>
    <xf numFmtId="0" fontId="1" fillId="0" borderId="2" xfId="0" applyFont="1" applyBorder="1"/>
    <xf numFmtId="0" fontId="1" fillId="0" borderId="4" xfId="0" applyFont="1" applyBorder="1"/>
    <xf numFmtId="9" fontId="7" fillId="0" borderId="5" xfId="0" applyNumberFormat="1" applyFont="1" applyBorder="1"/>
    <xf numFmtId="44" fontId="1" fillId="0" borderId="3" xfId="1" applyFont="1" applyBorder="1"/>
    <xf numFmtId="1" fontId="10" fillId="0" borderId="0" xfId="0" applyNumberFormat="1" applyFont="1"/>
    <xf numFmtId="3" fontId="10" fillId="0" borderId="0" xfId="0" applyNumberFormat="1" applyFont="1"/>
    <xf numFmtId="9" fontId="7" fillId="0" borderId="0" xfId="0" applyNumberFormat="1" applyFont="1"/>
    <xf numFmtId="0" fontId="11" fillId="0" borderId="0" xfId="0" applyFont="1" applyAlignment="1">
      <alignment horizontal="center"/>
    </xf>
    <xf numFmtId="38" fontId="11" fillId="0" borderId="0" xfId="0" applyNumberFormat="1" applyFont="1"/>
    <xf numFmtId="0" fontId="11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4F91-1745-AA48-92D5-969220854FCD}">
  <dimension ref="A1:L138"/>
  <sheetViews>
    <sheetView tabSelected="1" topLeftCell="A102" workbookViewId="0">
      <selection activeCell="A134" sqref="A134"/>
    </sheetView>
  </sheetViews>
  <sheetFormatPr baseColWidth="10" defaultRowHeight="16" x14ac:dyDescent="0.2"/>
  <cols>
    <col min="1" max="1" width="4" style="21" customWidth="1"/>
    <col min="2" max="2" width="51.1640625" customWidth="1"/>
    <col min="3" max="15" width="13.83203125" customWidth="1"/>
  </cols>
  <sheetData>
    <row r="1" spans="1:11" ht="29" x14ac:dyDescent="0.35">
      <c r="B1" s="1" t="s">
        <v>0</v>
      </c>
    </row>
    <row r="2" spans="1:11" x14ac:dyDescent="0.2">
      <c r="B2" s="2" t="s">
        <v>87</v>
      </c>
    </row>
    <row r="4" spans="1:11" x14ac:dyDescent="0.2">
      <c r="B4" t="s">
        <v>112</v>
      </c>
      <c r="C4" s="28">
        <v>26.3</v>
      </c>
    </row>
    <row r="6" spans="1:11" x14ac:dyDescent="0.2">
      <c r="A6" s="21" t="s">
        <v>49</v>
      </c>
      <c r="B6" s="19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B7" s="20" t="s">
        <v>2</v>
      </c>
      <c r="C7" s="21" t="s">
        <v>12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7</v>
      </c>
      <c r="I7" s="21" t="s">
        <v>8</v>
      </c>
      <c r="J7" s="21" t="s">
        <v>9</v>
      </c>
      <c r="K7" s="21" t="s">
        <v>10</v>
      </c>
    </row>
    <row r="8" spans="1:11" x14ac:dyDescent="0.2">
      <c r="B8" s="3"/>
      <c r="C8" t="s">
        <v>11</v>
      </c>
    </row>
    <row r="9" spans="1:11" x14ac:dyDescent="0.2">
      <c r="B9" s="3" t="s">
        <v>13</v>
      </c>
    </row>
    <row r="10" spans="1:11" x14ac:dyDescent="0.2">
      <c r="B10" t="s">
        <v>18</v>
      </c>
      <c r="C10" s="7">
        <v>57216</v>
      </c>
      <c r="D10" s="7">
        <v>60439</v>
      </c>
      <c r="E10" s="7">
        <v>69120</v>
      </c>
      <c r="F10" s="7">
        <v>75140</v>
      </c>
      <c r="G10" s="17">
        <f>F10*(1+G42)</f>
        <v>72885.8</v>
      </c>
      <c r="H10" s="17">
        <f>G10*(1+H42)</f>
        <v>83089.812000000005</v>
      </c>
      <c r="I10" s="17">
        <f>H10*(1+I42)</f>
        <v>91398.793200000015</v>
      </c>
      <c r="J10" s="17">
        <f>I10*(1+J42)</f>
        <v>100538.67252000002</v>
      </c>
      <c r="K10" s="17">
        <f>J10*(1+K42)</f>
        <v>108581.76632160004</v>
      </c>
    </row>
    <row r="11" spans="1:11" x14ac:dyDescent="0.2">
      <c r="B11" s="5" t="s">
        <v>16</v>
      </c>
      <c r="C11" s="7">
        <v>17900</v>
      </c>
      <c r="D11" s="7">
        <v>18256</v>
      </c>
      <c r="E11" s="7">
        <v>22433</v>
      </c>
      <c r="F11" s="7">
        <v>25830</v>
      </c>
      <c r="G11" s="17">
        <f>F11*(1+G43)</f>
        <v>24280.199999999997</v>
      </c>
      <c r="H11" s="17">
        <f>G11*(1+H43)</f>
        <v>29864.645999999997</v>
      </c>
      <c r="I11" s="17">
        <f>H11*(1+I43)</f>
        <v>34344.342899999996</v>
      </c>
      <c r="J11" s="17">
        <f>I11*(1+J43)</f>
        <v>37778.777190000001</v>
      </c>
      <c r="K11" s="17">
        <f>J11*(1+K43)</f>
        <v>40801.079365200007</v>
      </c>
    </row>
    <row r="12" spans="1:11" x14ac:dyDescent="0.2">
      <c r="B12" s="5" t="s">
        <v>17</v>
      </c>
      <c r="C12" s="7">
        <v>51276</v>
      </c>
      <c r="D12" s="7">
        <v>58132</v>
      </c>
      <c r="E12" s="7">
        <v>64104</v>
      </c>
      <c r="F12" s="7">
        <v>68055</v>
      </c>
      <c r="G12" s="17">
        <f>F12*(1+G44)</f>
        <v>65332.799999999996</v>
      </c>
      <c r="H12" s="17">
        <f>G12*(1+H44)</f>
        <v>71866.080000000002</v>
      </c>
      <c r="I12" s="17">
        <f>H12*(1+I44)</f>
        <v>81208.670399999988</v>
      </c>
      <c r="J12" s="17">
        <f>I12*(1+J44)</f>
        <v>87705.364031999998</v>
      </c>
      <c r="K12" s="17">
        <f>J12*(1+K44)</f>
        <v>94721.79315456</v>
      </c>
    </row>
    <row r="13" spans="1:11" x14ac:dyDescent="0.2">
      <c r="B13" s="5" t="s">
        <v>19</v>
      </c>
      <c r="C13" s="7">
        <v>8468</v>
      </c>
      <c r="D13" s="7">
        <v>8069</v>
      </c>
      <c r="E13" s="7">
        <v>10091</v>
      </c>
      <c r="F13" s="7">
        <v>12034</v>
      </c>
      <c r="G13" s="17">
        <f>F13*(1+G45)</f>
        <v>10830.6</v>
      </c>
      <c r="H13" s="17">
        <f>G13*(1+H45)</f>
        <v>12346.884000000002</v>
      </c>
      <c r="I13" s="17">
        <f>H13*(1+I45)</f>
        <v>14816.260800000002</v>
      </c>
      <c r="J13" s="17">
        <f>I13*(1+J45)</f>
        <v>16001.561664000003</v>
      </c>
      <c r="K13" s="17">
        <f>J13*(1+K45)</f>
        <v>17281.686597120002</v>
      </c>
    </row>
    <row r="14" spans="1:11" s="3" customFormat="1" x14ac:dyDescent="0.2">
      <c r="A14" s="21"/>
      <c r="B14" s="3" t="s">
        <v>14</v>
      </c>
      <c r="C14" s="12">
        <f>SUM(C10:C13)</f>
        <v>134860</v>
      </c>
      <c r="D14" s="12">
        <f>SUM(D10:D13)</f>
        <v>144896</v>
      </c>
      <c r="E14" s="12">
        <f>SUM(E10:E13)</f>
        <v>165748</v>
      </c>
      <c r="F14" s="12">
        <f>SUM(F10:F13)</f>
        <v>181059</v>
      </c>
      <c r="G14" s="18">
        <f t="shared" ref="G14:K14" si="0">SUM(G10:G13)</f>
        <v>173329.4</v>
      </c>
      <c r="H14" s="18">
        <f t="shared" si="0"/>
        <v>197167.42199999999</v>
      </c>
      <c r="I14" s="18">
        <f t="shared" si="0"/>
        <v>221768.0673</v>
      </c>
      <c r="J14" s="18">
        <f t="shared" si="0"/>
        <v>242024.37540600004</v>
      </c>
      <c r="K14" s="18">
        <f t="shared" si="0"/>
        <v>261386.32543848007</v>
      </c>
    </row>
    <row r="15" spans="1:11" s="3" customFormat="1" x14ac:dyDescent="0.2">
      <c r="A15" s="21"/>
      <c r="B15" s="20" t="s">
        <v>113</v>
      </c>
      <c r="C15" s="12"/>
      <c r="D15" s="35">
        <f>D14/C14-1</f>
        <v>7.4417914874684854E-2</v>
      </c>
      <c r="E15" s="35">
        <f t="shared" ref="E15:K15" si="1">E14/D14-1</f>
        <v>0.14391011484098937</v>
      </c>
      <c r="F15" s="35">
        <f t="shared" si="1"/>
        <v>9.2375171947776114E-2</v>
      </c>
      <c r="G15" s="35">
        <f t="shared" si="1"/>
        <v>-4.2691056506442671E-2</v>
      </c>
      <c r="H15" s="35">
        <f t="shared" si="1"/>
        <v>0.13753017087695452</v>
      </c>
      <c r="I15" s="35">
        <f t="shared" si="1"/>
        <v>0.12477033503029733</v>
      </c>
      <c r="J15" s="35">
        <f t="shared" si="1"/>
        <v>9.134005789299704E-2</v>
      </c>
      <c r="K15" s="35">
        <f t="shared" si="1"/>
        <v>8.0000000000000071E-2</v>
      </c>
    </row>
    <row r="17" spans="1:11" x14ac:dyDescent="0.2">
      <c r="B17" s="3" t="s">
        <v>15</v>
      </c>
    </row>
    <row r="18" spans="1:11" x14ac:dyDescent="0.2">
      <c r="B18" t="s">
        <v>20</v>
      </c>
    </row>
    <row r="19" spans="1:11" x14ac:dyDescent="0.2">
      <c r="B19" s="5" t="s">
        <v>21</v>
      </c>
      <c r="C19" s="10">
        <v>-12624</v>
      </c>
      <c r="D19" s="10">
        <v>-13114</v>
      </c>
      <c r="E19" s="10">
        <v>-14327</v>
      </c>
      <c r="F19" s="10">
        <v>-15303</v>
      </c>
    </row>
    <row r="20" spans="1:11" x14ac:dyDescent="0.2">
      <c r="B20" s="5" t="s">
        <v>22</v>
      </c>
      <c r="C20" s="10">
        <v>-6810</v>
      </c>
      <c r="D20" s="10">
        <v>-7398</v>
      </c>
      <c r="E20" s="10">
        <v>-8133</v>
      </c>
      <c r="F20" s="10">
        <v>-9056</v>
      </c>
    </row>
    <row r="21" spans="1:11" x14ac:dyDescent="0.2">
      <c r="B21" s="5" t="s">
        <v>23</v>
      </c>
      <c r="C21" s="10">
        <v>-1112</v>
      </c>
      <c r="D21" s="10">
        <v>-209</v>
      </c>
      <c r="E21" s="10">
        <v>-449</v>
      </c>
      <c r="F21" s="10">
        <v>-578</v>
      </c>
    </row>
    <row r="22" spans="1:11" x14ac:dyDescent="0.2">
      <c r="B22" s="3" t="s">
        <v>24</v>
      </c>
      <c r="C22" s="11">
        <f>SUM(C19:C21)</f>
        <v>-20546</v>
      </c>
      <c r="D22" s="11">
        <f t="shared" ref="D22:F22" si="2">SUM(D19:D21)</f>
        <v>-20721</v>
      </c>
      <c r="E22" s="11">
        <f t="shared" si="2"/>
        <v>-22909</v>
      </c>
      <c r="F22" s="11">
        <f t="shared" si="2"/>
        <v>-24937</v>
      </c>
      <c r="G22" s="11">
        <f>G48*G14*-1</f>
        <v>-24266.116000000002</v>
      </c>
      <c r="H22" s="11">
        <f>H48*H14*-1</f>
        <v>-27603.43908</v>
      </c>
      <c r="I22" s="11">
        <f>I48*I14*-1</f>
        <v>-31047.529422000003</v>
      </c>
      <c r="J22" s="11">
        <f>J48*J14*-1</f>
        <v>-33883.412556840005</v>
      </c>
      <c r="K22" s="11">
        <f>K48*K14*-1</f>
        <v>-36594.085561387212</v>
      </c>
    </row>
    <row r="23" spans="1:11" x14ac:dyDescent="0.2">
      <c r="B23" s="5" t="s">
        <v>25</v>
      </c>
      <c r="C23" s="10">
        <v>-37457</v>
      </c>
      <c r="D23" s="10">
        <v>-40029</v>
      </c>
      <c r="E23" s="10">
        <v>-44547</v>
      </c>
      <c r="F23" s="10">
        <v>-49833</v>
      </c>
    </row>
    <row r="24" spans="1:11" x14ac:dyDescent="0.2">
      <c r="B24" s="5" t="s">
        <v>26</v>
      </c>
      <c r="C24" s="10">
        <v>-43075</v>
      </c>
      <c r="D24" s="10">
        <v>-46775</v>
      </c>
      <c r="E24" s="10">
        <v>-53824</v>
      </c>
      <c r="F24" s="10">
        <v>-59896</v>
      </c>
    </row>
    <row r="25" spans="1:11" x14ac:dyDescent="0.2">
      <c r="B25" s="5" t="s">
        <v>27</v>
      </c>
      <c r="C25" s="10">
        <v>-7328</v>
      </c>
      <c r="D25" s="10">
        <v>-6920</v>
      </c>
      <c r="E25" s="10">
        <v>-7722</v>
      </c>
      <c r="F25" s="10">
        <v>-9072</v>
      </c>
      <c r="G25" s="10">
        <f>AVERAGE(D25:F25)</f>
        <v>-7904.666666666667</v>
      </c>
      <c r="H25" s="10">
        <f t="shared" ref="H25:K25" si="3">AVERAGE(E25:G25)</f>
        <v>-8232.8888888888887</v>
      </c>
      <c r="I25" s="10">
        <f t="shared" si="3"/>
        <v>-8403.1851851851843</v>
      </c>
      <c r="J25" s="10">
        <f t="shared" si="3"/>
        <v>-8180.2469135802457</v>
      </c>
      <c r="K25" s="10">
        <f t="shared" si="3"/>
        <v>-8272.1069958847729</v>
      </c>
    </row>
    <row r="26" spans="1:11" x14ac:dyDescent="0.2">
      <c r="B26" s="5" t="s">
        <v>28</v>
      </c>
      <c r="C26" s="10">
        <v>-5761</v>
      </c>
      <c r="D26" s="10">
        <v>-7312</v>
      </c>
      <c r="E26" s="10">
        <v>-8350</v>
      </c>
      <c r="F26" s="10">
        <v>-2620</v>
      </c>
    </row>
    <row r="27" spans="1:11" s="3" customFormat="1" x14ac:dyDescent="0.2">
      <c r="A27" s="21"/>
      <c r="B27" s="3" t="s">
        <v>29</v>
      </c>
      <c r="C27" s="11">
        <f>SUM(C22:C26)</f>
        <v>-114167</v>
      </c>
      <c r="D27" s="11">
        <f t="shared" ref="D27:F27" si="4">SUM(D22:D26)</f>
        <v>-121757</v>
      </c>
      <c r="E27" s="11">
        <f t="shared" si="4"/>
        <v>-137352</v>
      </c>
      <c r="F27" s="11">
        <f t="shared" si="4"/>
        <v>-146358</v>
      </c>
      <c r="G27" s="11">
        <f>-1*G14*G50</f>
        <v>-143863.402</v>
      </c>
      <c r="H27" s="11">
        <f>-1*H14*H50</f>
        <v>-163648.96025999999</v>
      </c>
      <c r="I27" s="11">
        <f>-1*I14*I50</f>
        <v>-184067.49585899999</v>
      </c>
      <c r="J27" s="11">
        <f>-1*J14*J50</f>
        <v>-200880.23158698002</v>
      </c>
      <c r="K27" s="11">
        <f>-1*K14*K50</f>
        <v>-216950.65011393843</v>
      </c>
    </row>
    <row r="28" spans="1:11" s="38" customFormat="1" x14ac:dyDescent="0.2">
      <c r="A28" s="36"/>
      <c r="B28" s="20" t="s">
        <v>113</v>
      </c>
      <c r="C28" s="37"/>
      <c r="D28" s="35">
        <f>D27/C27-1</f>
        <v>6.6481557718079731E-2</v>
      </c>
      <c r="E28" s="35">
        <f t="shared" ref="E28:K28" si="5">E27/D27-1</f>
        <v>0.12808298496185033</v>
      </c>
      <c r="F28" s="35">
        <f t="shared" si="5"/>
        <v>6.5568757644592024E-2</v>
      </c>
      <c r="G28" s="35">
        <f t="shared" si="5"/>
        <v>-1.7044493638885494E-2</v>
      </c>
      <c r="H28" s="35">
        <f t="shared" si="5"/>
        <v>0.13753017087695452</v>
      </c>
      <c r="I28" s="35">
        <f t="shared" si="5"/>
        <v>0.12477033503029733</v>
      </c>
      <c r="J28" s="35">
        <f t="shared" si="5"/>
        <v>9.134005789299704E-2</v>
      </c>
      <c r="K28" s="35">
        <f t="shared" si="5"/>
        <v>8.0000000000000071E-2</v>
      </c>
    </row>
    <row r="30" spans="1:11" s="3" customFormat="1" x14ac:dyDescent="0.2">
      <c r="A30" s="21"/>
      <c r="B30" s="3" t="s">
        <v>30</v>
      </c>
      <c r="C30" s="11">
        <f>SUM(C27+C14)</f>
        <v>20693</v>
      </c>
      <c r="D30" s="11">
        <f t="shared" ref="D30:K30" si="6">SUM(D27+D14)</f>
        <v>23139</v>
      </c>
      <c r="E30" s="11">
        <f t="shared" si="6"/>
        <v>28396</v>
      </c>
      <c r="F30" s="11">
        <f t="shared" si="6"/>
        <v>34701</v>
      </c>
      <c r="G30" s="11">
        <f t="shared" si="6"/>
        <v>29465.997999999992</v>
      </c>
      <c r="H30" s="11">
        <f t="shared" si="6"/>
        <v>33518.461739999999</v>
      </c>
      <c r="I30" s="11">
        <f t="shared" si="6"/>
        <v>37700.571441000007</v>
      </c>
      <c r="J30" s="11">
        <f t="shared" si="6"/>
        <v>41144.143819020013</v>
      </c>
      <c r="K30" s="11">
        <f t="shared" si="6"/>
        <v>44435.675324541633</v>
      </c>
    </row>
    <row r="31" spans="1:11" x14ac:dyDescent="0.2">
      <c r="B31" s="5" t="s">
        <v>31</v>
      </c>
      <c r="C31" s="10">
        <v>-7982</v>
      </c>
      <c r="D31" s="10">
        <v>-8764</v>
      </c>
      <c r="E31" s="10">
        <v>-9954</v>
      </c>
      <c r="F31" s="10">
        <v>-10209</v>
      </c>
      <c r="G31" s="10">
        <f>G30*-1*G52</f>
        <v>-10018.439319999998</v>
      </c>
      <c r="H31" s="10">
        <f>H30*-1*H52</f>
        <v>-11396.2769916</v>
      </c>
      <c r="I31" s="10">
        <f>I30*-1*I52</f>
        <v>-12818.194289940004</v>
      </c>
      <c r="J31" s="10">
        <f>J30*-1*J52</f>
        <v>-13989.008898466805</v>
      </c>
      <c r="K31" s="10">
        <f>K30*-1*K52</f>
        <v>-15108.129610344156</v>
      </c>
    </row>
    <row r="32" spans="1:11" x14ac:dyDescent="0.2">
      <c r="B32" s="5" t="s">
        <v>32</v>
      </c>
      <c r="C32" s="9">
        <v>131</v>
      </c>
      <c r="D32" s="9">
        <v>266</v>
      </c>
      <c r="E32" s="9">
        <v>234</v>
      </c>
      <c r="F32" s="9">
        <v>309</v>
      </c>
      <c r="G32" s="17">
        <f>G30*G53</f>
        <v>294.6599799999999</v>
      </c>
      <c r="H32" s="17">
        <f>H30*H53</f>
        <v>335.18461739999998</v>
      </c>
      <c r="I32" s="17">
        <f>I30*I53</f>
        <v>377.00571441000005</v>
      </c>
      <c r="J32" s="17">
        <f>J30*J53</f>
        <v>411.44143819020013</v>
      </c>
      <c r="K32" s="17">
        <f>K30*K53</f>
        <v>444.35675324541631</v>
      </c>
    </row>
    <row r="33" spans="1:11" x14ac:dyDescent="0.2">
      <c r="B33" s="5" t="s">
        <v>36</v>
      </c>
      <c r="C33" s="9">
        <v>0</v>
      </c>
      <c r="D33" s="9">
        <v>0</v>
      </c>
      <c r="E33" s="9">
        <v>0</v>
      </c>
      <c r="F33" s="10">
        <v>-612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 x14ac:dyDescent="0.2">
      <c r="B34" s="5" t="s">
        <v>34</v>
      </c>
      <c r="C34" s="10">
        <v>-2373</v>
      </c>
      <c r="D34" s="10">
        <v>-6359</v>
      </c>
      <c r="E34" s="9">
        <v>3118</v>
      </c>
      <c r="F34" s="10">
        <v>-4863</v>
      </c>
      <c r="G34" s="10">
        <f>G55*G14*-1</f>
        <v>-5199.8819999999996</v>
      </c>
      <c r="H34" s="10">
        <f t="shared" ref="H34:K34" si="7">H55*H30*-1</f>
        <v>-1005.5538521999999</v>
      </c>
      <c r="I34" s="10">
        <f t="shared" si="7"/>
        <v>-1131.0171432300001</v>
      </c>
      <c r="J34" s="10">
        <f t="shared" si="7"/>
        <v>-1234.3243145706003</v>
      </c>
      <c r="K34" s="10">
        <f t="shared" si="7"/>
        <v>-1333.070259736249</v>
      </c>
    </row>
    <row r="36" spans="1:11" s="3" customFormat="1" x14ac:dyDescent="0.2">
      <c r="A36" s="21"/>
      <c r="B36" s="3" t="s">
        <v>35</v>
      </c>
      <c r="C36" s="11">
        <f>SUM(C30:C34)</f>
        <v>10469</v>
      </c>
      <c r="D36" s="11">
        <f t="shared" ref="D36:K36" si="8">SUM(D30:D34)</f>
        <v>8282</v>
      </c>
      <c r="E36" s="11">
        <f t="shared" si="8"/>
        <v>21794</v>
      </c>
      <c r="F36" s="11">
        <f t="shared" si="8"/>
        <v>19326</v>
      </c>
      <c r="G36" s="11">
        <f t="shared" si="8"/>
        <v>14542.336659999995</v>
      </c>
      <c r="H36" s="11">
        <f t="shared" si="8"/>
        <v>21451.815513599999</v>
      </c>
      <c r="I36" s="11">
        <f t="shared" si="8"/>
        <v>24128.365722240003</v>
      </c>
      <c r="J36" s="11">
        <f t="shared" si="8"/>
        <v>26332.252044172808</v>
      </c>
      <c r="K36" s="11">
        <f t="shared" si="8"/>
        <v>28438.832207706644</v>
      </c>
    </row>
    <row r="38" spans="1:11" x14ac:dyDescent="0.2">
      <c r="A38" s="21" t="s">
        <v>49</v>
      </c>
      <c r="B38" s="19" t="s">
        <v>37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">
      <c r="B39" s="20" t="s">
        <v>2</v>
      </c>
      <c r="C39" s="21" t="s">
        <v>12</v>
      </c>
      <c r="D39" s="21" t="s">
        <v>3</v>
      </c>
      <c r="E39" s="21" t="s">
        <v>4</v>
      </c>
      <c r="F39" s="21" t="s">
        <v>5</v>
      </c>
      <c r="G39" s="21" t="s">
        <v>6</v>
      </c>
      <c r="H39" s="21" t="s">
        <v>7</v>
      </c>
      <c r="I39" s="21" t="s">
        <v>8</v>
      </c>
      <c r="J39" s="21" t="s">
        <v>9</v>
      </c>
      <c r="K39" s="21" t="s">
        <v>10</v>
      </c>
    </row>
    <row r="41" spans="1:11" x14ac:dyDescent="0.2">
      <c r="B41" t="s">
        <v>38</v>
      </c>
      <c r="D41" s="13">
        <f t="shared" ref="D41:K41" si="9">D14/C14-1</f>
        <v>7.4417914874684854E-2</v>
      </c>
      <c r="E41" s="13">
        <f t="shared" si="9"/>
        <v>0.14391011484098937</v>
      </c>
      <c r="F41" s="13">
        <f t="shared" si="9"/>
        <v>9.2375171947776114E-2</v>
      </c>
      <c r="G41" s="16">
        <f t="shared" si="9"/>
        <v>-4.2691056506442671E-2</v>
      </c>
      <c r="H41" s="16">
        <f t="shared" si="9"/>
        <v>0.13753017087695452</v>
      </c>
      <c r="I41" s="16">
        <f t="shared" si="9"/>
        <v>0.12477033503029733</v>
      </c>
      <c r="J41" s="16">
        <f t="shared" si="9"/>
        <v>9.134005789299704E-2</v>
      </c>
      <c r="K41" s="16">
        <f t="shared" si="9"/>
        <v>8.0000000000000071E-2</v>
      </c>
    </row>
    <row r="42" spans="1:11" x14ac:dyDescent="0.2">
      <c r="B42" t="s">
        <v>39</v>
      </c>
      <c r="D42" s="13">
        <f>D10/C10-1</f>
        <v>5.6330397091722606E-2</v>
      </c>
      <c r="E42" s="13">
        <f>E10/D10-1</f>
        <v>0.14363242277337473</v>
      </c>
      <c r="F42" s="13">
        <f>F10/E10-1</f>
        <v>8.709490740740744E-2</v>
      </c>
      <c r="G42" s="14">
        <v>-0.03</v>
      </c>
      <c r="H42" s="14">
        <v>0.14000000000000001</v>
      </c>
      <c r="I42" s="14">
        <v>0.1</v>
      </c>
      <c r="J42" s="14">
        <v>0.1</v>
      </c>
      <c r="K42" s="14">
        <v>0.08</v>
      </c>
    </row>
    <row r="43" spans="1:11" x14ac:dyDescent="0.2">
      <c r="B43" t="s">
        <v>40</v>
      </c>
      <c r="D43" s="13">
        <f>D11/C11-1</f>
        <v>1.9888268156424527E-2</v>
      </c>
      <c r="E43" s="13">
        <f>E11/D11-1</f>
        <v>0.22880148992112193</v>
      </c>
      <c r="F43" s="13">
        <f>F11/E11-1</f>
        <v>0.15142869879195819</v>
      </c>
      <c r="G43" s="14">
        <v>-0.06</v>
      </c>
      <c r="H43" s="14">
        <v>0.23</v>
      </c>
      <c r="I43" s="14">
        <v>0.15</v>
      </c>
      <c r="J43" s="14">
        <v>0.1</v>
      </c>
      <c r="K43" s="14">
        <v>0.08</v>
      </c>
    </row>
    <row r="44" spans="1:11" x14ac:dyDescent="0.2">
      <c r="B44" t="s">
        <v>41</v>
      </c>
      <c r="D44" s="13">
        <f>D12/C12-1</f>
        <v>0.1337077775177471</v>
      </c>
      <c r="E44" s="13">
        <f>E12/D12-1</f>
        <v>0.10273171403013825</v>
      </c>
      <c r="F44" s="13">
        <f>F12/E12-1</f>
        <v>6.1634219393485568E-2</v>
      </c>
      <c r="G44" s="14">
        <v>-0.04</v>
      </c>
      <c r="H44" s="14">
        <v>0.1</v>
      </c>
      <c r="I44" s="14">
        <v>0.13</v>
      </c>
      <c r="J44" s="14">
        <v>0.08</v>
      </c>
      <c r="K44" s="14">
        <v>0.08</v>
      </c>
    </row>
    <row r="45" spans="1:11" x14ac:dyDescent="0.2">
      <c r="B45" t="s">
        <v>42</v>
      </c>
      <c r="D45" s="13">
        <f>D13/C13-1</f>
        <v>-4.7118564005668384E-2</v>
      </c>
      <c r="E45" s="13">
        <f>E13/D13-1</f>
        <v>0.25058867269798002</v>
      </c>
      <c r="F45" s="13">
        <f>F13/E13-1</f>
        <v>0.19254781488455053</v>
      </c>
      <c r="G45" s="14">
        <v>-0.1</v>
      </c>
      <c r="H45" s="14">
        <v>0.14000000000000001</v>
      </c>
      <c r="I45" s="14">
        <v>0.2</v>
      </c>
      <c r="J45" s="14">
        <v>0.08</v>
      </c>
      <c r="K45" s="14">
        <v>0.08</v>
      </c>
    </row>
    <row r="47" spans="1:11" x14ac:dyDescent="0.2">
      <c r="B47" t="s">
        <v>43</v>
      </c>
      <c r="C47" s="15">
        <f t="shared" ref="C47:K47" si="10">C36/C14</f>
        <v>7.7628651935340354E-2</v>
      </c>
      <c r="D47" s="15">
        <f t="shared" si="10"/>
        <v>5.7158237632508831E-2</v>
      </c>
      <c r="E47" s="15">
        <f t="shared" si="10"/>
        <v>0.13148876607862539</v>
      </c>
      <c r="F47" s="15">
        <f t="shared" si="10"/>
        <v>0.10673868738919358</v>
      </c>
      <c r="G47" s="15">
        <f t="shared" si="10"/>
        <v>8.3899999999999975E-2</v>
      </c>
      <c r="H47" s="15">
        <f t="shared" si="10"/>
        <v>0.10879999999999999</v>
      </c>
      <c r="I47" s="15">
        <f t="shared" si="10"/>
        <v>0.10880000000000002</v>
      </c>
      <c r="J47" s="15">
        <f t="shared" si="10"/>
        <v>0.10880000000000002</v>
      </c>
      <c r="K47" s="15">
        <f t="shared" si="10"/>
        <v>0.10880000000000005</v>
      </c>
    </row>
    <row r="48" spans="1:11" x14ac:dyDescent="0.2">
      <c r="B48" t="s">
        <v>44</v>
      </c>
      <c r="C48" s="15">
        <f>C22/C14*-1</f>
        <v>0.15235058579267388</v>
      </c>
      <c r="D48" s="15">
        <f>D22/D14*-1</f>
        <v>0.14300601810954064</v>
      </c>
      <c r="E48" s="15">
        <f>E22/E14*-1</f>
        <v>0.1382158457417284</v>
      </c>
      <c r="F48" s="15">
        <f>F22/F14*-1</f>
        <v>0.13772858570963056</v>
      </c>
      <c r="G48" s="14">
        <v>0.14000000000000001</v>
      </c>
      <c r="H48" s="14">
        <v>0.14000000000000001</v>
      </c>
      <c r="I48" s="14">
        <v>0.14000000000000001</v>
      </c>
      <c r="J48" s="14">
        <v>0.14000000000000001</v>
      </c>
      <c r="K48" s="14">
        <v>0.14000000000000001</v>
      </c>
    </row>
    <row r="49" spans="1:11" x14ac:dyDescent="0.2">
      <c r="B49" t="s">
        <v>45</v>
      </c>
      <c r="C49" s="15">
        <f t="shared" ref="C49:K49" si="11">C30/C14</f>
        <v>0.15344060507192644</v>
      </c>
      <c r="D49" s="15">
        <f t="shared" si="11"/>
        <v>0.15969384938162545</v>
      </c>
      <c r="E49" s="15">
        <f t="shared" si="11"/>
        <v>0.17132031759055916</v>
      </c>
      <c r="F49" s="15">
        <f t="shared" si="11"/>
        <v>0.1916557586201183</v>
      </c>
      <c r="G49" s="15">
        <f t="shared" si="11"/>
        <v>0.16999999999999996</v>
      </c>
      <c r="H49" s="15">
        <f t="shared" si="11"/>
        <v>0.17</v>
      </c>
      <c r="I49" s="15">
        <f t="shared" si="11"/>
        <v>0.17000000000000004</v>
      </c>
      <c r="J49" s="15">
        <f t="shared" si="11"/>
        <v>0.17000000000000004</v>
      </c>
      <c r="K49" s="15">
        <f t="shared" si="11"/>
        <v>0.1700000000000001</v>
      </c>
    </row>
    <row r="50" spans="1:11" x14ac:dyDescent="0.2">
      <c r="B50" t="s">
        <v>46</v>
      </c>
      <c r="C50" s="15">
        <f>C27*-1/C14</f>
        <v>0.84655939492807353</v>
      </c>
      <c r="D50" s="15">
        <f>D27*-1/D14</f>
        <v>0.84030615061837455</v>
      </c>
      <c r="E50" s="15">
        <f>E27*-1/E14</f>
        <v>0.82867968240944079</v>
      </c>
      <c r="F50" s="15">
        <f>F27*-1/F14</f>
        <v>0.8083442413798817</v>
      </c>
      <c r="G50" s="14">
        <v>0.83</v>
      </c>
      <c r="H50" s="14">
        <v>0.83</v>
      </c>
      <c r="I50" s="14">
        <v>0.83</v>
      </c>
      <c r="J50" s="14">
        <v>0.83</v>
      </c>
      <c r="K50" s="14">
        <v>0.83</v>
      </c>
    </row>
    <row r="52" spans="1:11" x14ac:dyDescent="0.2">
      <c r="B52" t="s">
        <v>47</v>
      </c>
      <c r="C52" s="15">
        <f>(C32+C31)*-1/C30</f>
        <v>0.37940366307446965</v>
      </c>
      <c r="D52" s="15">
        <f>(D32+D31)*-1/D30</f>
        <v>0.36725874065430658</v>
      </c>
      <c r="E52" s="15">
        <f>(E32+E31)*-1/E30</f>
        <v>0.34230173263839975</v>
      </c>
      <c r="F52" s="15">
        <f>(F32+F31)*-1/F30</f>
        <v>0.28529437192011758</v>
      </c>
      <c r="G52" s="14">
        <v>0.34</v>
      </c>
      <c r="H52" s="14">
        <v>0.34</v>
      </c>
      <c r="I52" s="14">
        <v>0.34</v>
      </c>
      <c r="J52" s="14">
        <v>0.34</v>
      </c>
      <c r="K52" s="14">
        <v>0.34</v>
      </c>
    </row>
    <row r="53" spans="1:11" x14ac:dyDescent="0.2">
      <c r="B53" t="s">
        <v>32</v>
      </c>
      <c r="C53" s="15">
        <f>C32/C30</f>
        <v>6.3306432126806166E-3</v>
      </c>
      <c r="D53" s="15">
        <f>D32/D30</f>
        <v>1.1495743117680108E-2</v>
      </c>
      <c r="E53" s="15">
        <f>E32/E30</f>
        <v>8.2405972672207357E-3</v>
      </c>
      <c r="F53" s="15">
        <f>F32/F30</f>
        <v>8.9046425175066998E-3</v>
      </c>
      <c r="G53" s="14">
        <v>0.01</v>
      </c>
      <c r="H53" s="14">
        <v>0.01</v>
      </c>
      <c r="I53" s="14">
        <v>0.01</v>
      </c>
      <c r="J53" s="14">
        <v>0.01</v>
      </c>
      <c r="K53" s="14">
        <v>0.01</v>
      </c>
    </row>
    <row r="55" spans="1:11" x14ac:dyDescent="0.2">
      <c r="B55" t="s">
        <v>48</v>
      </c>
      <c r="C55" s="15">
        <f>C34*-1/C14</f>
        <v>1.7596025507934154E-2</v>
      </c>
      <c r="D55" s="15">
        <f t="shared" ref="D55:F55" si="12">D34*-1/D14</f>
        <v>4.3886649734982332E-2</v>
      </c>
      <c r="E55" s="15">
        <f t="shared" si="12"/>
        <v>-1.8811690035475542E-2</v>
      </c>
      <c r="F55" s="15">
        <f t="shared" si="12"/>
        <v>2.6858648285917851E-2</v>
      </c>
      <c r="G55" s="14">
        <v>0.03</v>
      </c>
      <c r="H55" s="14">
        <v>0.03</v>
      </c>
      <c r="I55" s="14">
        <v>0.03</v>
      </c>
      <c r="J55" s="14">
        <v>0.03</v>
      </c>
      <c r="K55" s="14">
        <v>0.03</v>
      </c>
    </row>
    <row r="57" spans="1:11" x14ac:dyDescent="0.2">
      <c r="A57" s="21" t="s">
        <v>49</v>
      </c>
      <c r="B57" s="19" t="s">
        <v>50</v>
      </c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">
      <c r="B58" s="20" t="s">
        <v>2</v>
      </c>
      <c r="C58" s="21"/>
      <c r="D58" s="21" t="s">
        <v>3</v>
      </c>
      <c r="E58" s="21" t="s">
        <v>4</v>
      </c>
      <c r="F58" s="21" t="s">
        <v>5</v>
      </c>
      <c r="G58" s="21" t="s">
        <v>6</v>
      </c>
      <c r="H58" s="21" t="s">
        <v>7</v>
      </c>
      <c r="I58" s="21" t="s">
        <v>8</v>
      </c>
      <c r="J58" s="21" t="s">
        <v>9</v>
      </c>
      <c r="K58" s="21" t="s">
        <v>10</v>
      </c>
    </row>
    <row r="60" spans="1:11" x14ac:dyDescent="0.2">
      <c r="B60" s="3" t="s">
        <v>51</v>
      </c>
    </row>
    <row r="61" spans="1:11" x14ac:dyDescent="0.2">
      <c r="B61" s="20" t="s">
        <v>52</v>
      </c>
    </row>
    <row r="62" spans="1:11" x14ac:dyDescent="0.2">
      <c r="B62" t="s">
        <v>53</v>
      </c>
      <c r="D62" s="7">
        <v>9922</v>
      </c>
      <c r="E62" s="7">
        <v>17726</v>
      </c>
      <c r="F62" s="7">
        <v>14097</v>
      </c>
    </row>
    <row r="63" spans="1:11" x14ac:dyDescent="0.2">
      <c r="B63" t="s">
        <v>54</v>
      </c>
      <c r="D63" s="7">
        <v>3187</v>
      </c>
      <c r="E63" s="7">
        <v>7320</v>
      </c>
      <c r="F63" s="7">
        <v>6289</v>
      </c>
    </row>
    <row r="64" spans="1:11" x14ac:dyDescent="0.2">
      <c r="B64" t="s">
        <v>56</v>
      </c>
      <c r="D64" s="7">
        <v>0</v>
      </c>
      <c r="E64" s="7">
        <v>0</v>
      </c>
      <c r="F64" s="7">
        <v>954</v>
      </c>
    </row>
    <row r="65" spans="1:11" x14ac:dyDescent="0.2">
      <c r="B65" t="s">
        <v>55</v>
      </c>
      <c r="D65" s="7">
        <v>2149</v>
      </c>
      <c r="E65" s="7">
        <v>2353</v>
      </c>
      <c r="F65" s="7">
        <v>2598</v>
      </c>
    </row>
    <row r="66" spans="1:11" x14ac:dyDescent="0.2">
      <c r="B66" t="s">
        <v>57</v>
      </c>
      <c r="D66" s="7">
        <v>3826</v>
      </c>
      <c r="E66" s="7">
        <v>4910</v>
      </c>
      <c r="F66" s="7">
        <v>5446</v>
      </c>
    </row>
    <row r="67" spans="1:11" x14ac:dyDescent="0.2">
      <c r="B67" t="s">
        <v>58</v>
      </c>
      <c r="D67" s="7">
        <v>1399</v>
      </c>
      <c r="E67" s="7">
        <v>1591</v>
      </c>
      <c r="F67" s="7">
        <v>2521</v>
      </c>
    </row>
    <row r="68" spans="1:11" x14ac:dyDescent="0.2">
      <c r="B68" t="s">
        <v>61</v>
      </c>
      <c r="D68" s="7">
        <v>5759</v>
      </c>
      <c r="E68" s="7">
        <v>2902</v>
      </c>
      <c r="F68" s="7">
        <v>2866</v>
      </c>
    </row>
    <row r="69" spans="1:11" s="3" customFormat="1" x14ac:dyDescent="0.2">
      <c r="A69" s="21"/>
      <c r="B69" s="3" t="s">
        <v>59</v>
      </c>
      <c r="D69" s="12">
        <f>SUM(D62:D68)</f>
        <v>26242</v>
      </c>
      <c r="E69" s="12">
        <f t="shared" ref="E69:F69" si="13">SUM(E62:E68)</f>
        <v>36802</v>
      </c>
      <c r="F69" s="12">
        <f t="shared" si="13"/>
        <v>34771</v>
      </c>
      <c r="G69" s="34">
        <f>AVERAGE(D69:F69)</f>
        <v>32605</v>
      </c>
      <c r="H69" s="34">
        <f t="shared" ref="H69:K69" si="14">AVERAGE(E69:G69)</f>
        <v>34726</v>
      </c>
      <c r="I69" s="34">
        <f t="shared" si="14"/>
        <v>34034</v>
      </c>
      <c r="J69" s="34">
        <f t="shared" si="14"/>
        <v>33788.333333333336</v>
      </c>
      <c r="K69" s="34">
        <f t="shared" si="14"/>
        <v>34182.777777777781</v>
      </c>
    </row>
    <row r="70" spans="1:11" x14ac:dyDescent="0.2">
      <c r="B70" t="s">
        <v>60</v>
      </c>
      <c r="D70" s="7">
        <v>148410</v>
      </c>
      <c r="E70" s="7">
        <v>172403</v>
      </c>
      <c r="F70" s="7">
        <v>183956</v>
      </c>
    </row>
    <row r="71" spans="1:11" x14ac:dyDescent="0.2">
      <c r="B71" t="s">
        <v>62</v>
      </c>
      <c r="D71" s="7">
        <v>4993</v>
      </c>
      <c r="E71" s="7">
        <v>2874</v>
      </c>
      <c r="F71" s="7">
        <v>4211</v>
      </c>
    </row>
    <row r="72" spans="1:11" x14ac:dyDescent="0.2">
      <c r="B72" t="s">
        <v>63</v>
      </c>
      <c r="D72" s="7">
        <v>43866</v>
      </c>
      <c r="E72" s="7">
        <v>43591</v>
      </c>
      <c r="F72" s="7">
        <v>53630</v>
      </c>
    </row>
    <row r="73" spans="1:11" x14ac:dyDescent="0.2">
      <c r="B73" t="s">
        <v>64</v>
      </c>
      <c r="D73" s="7">
        <v>74424</v>
      </c>
      <c r="E73" s="7">
        <v>71532</v>
      </c>
      <c r="F73" s="7">
        <v>75951</v>
      </c>
    </row>
    <row r="74" spans="1:11" x14ac:dyDescent="0.2">
      <c r="B74" t="s">
        <v>65</v>
      </c>
      <c r="D74" s="7">
        <v>1949</v>
      </c>
      <c r="E74" s="7">
        <v>2530</v>
      </c>
      <c r="F74" s="7">
        <v>1118</v>
      </c>
    </row>
    <row r="75" spans="1:11" s="3" customFormat="1" x14ac:dyDescent="0.2">
      <c r="A75" s="21"/>
      <c r="B75" s="3" t="s">
        <v>66</v>
      </c>
      <c r="D75" s="12">
        <f>SUM(D69:D74)</f>
        <v>299884</v>
      </c>
      <c r="E75" s="12">
        <f t="shared" ref="E75:F75" si="15">SUM(E69:E74)</f>
        <v>329732</v>
      </c>
      <c r="F75" s="12">
        <f t="shared" si="15"/>
        <v>353637</v>
      </c>
    </row>
    <row r="77" spans="1:11" x14ac:dyDescent="0.2">
      <c r="B77" s="3" t="s">
        <v>67</v>
      </c>
    </row>
    <row r="78" spans="1:11" x14ac:dyDescent="0.2">
      <c r="B78" s="22" t="s">
        <v>68</v>
      </c>
    </row>
    <row r="79" spans="1:11" x14ac:dyDescent="0.2">
      <c r="B79" t="s">
        <v>69</v>
      </c>
      <c r="D79" s="7">
        <v>2147</v>
      </c>
      <c r="E79" s="7">
        <v>2825</v>
      </c>
      <c r="F79" s="7">
        <v>3810</v>
      </c>
    </row>
    <row r="80" spans="1:11" x14ac:dyDescent="0.2">
      <c r="B80" t="s">
        <v>70</v>
      </c>
      <c r="D80" s="7">
        <v>11524</v>
      </c>
      <c r="E80" s="7">
        <v>11973</v>
      </c>
      <c r="F80" s="7">
        <v>14644</v>
      </c>
    </row>
    <row r="81" spans="1:11" x14ac:dyDescent="0.2">
      <c r="B81" t="s">
        <v>71</v>
      </c>
      <c r="D81" s="7">
        <v>17440</v>
      </c>
      <c r="E81" s="7">
        <v>19047</v>
      </c>
      <c r="F81" s="7">
        <v>15754</v>
      </c>
    </row>
    <row r="82" spans="1:11" s="3" customFormat="1" x14ac:dyDescent="0.2">
      <c r="A82" s="21"/>
      <c r="B82" s="3" t="s">
        <v>72</v>
      </c>
      <c r="D82" s="3">
        <f>SUM(D79:D81)</f>
        <v>31111</v>
      </c>
      <c r="E82" s="3">
        <f>SUM(E79:E81)</f>
        <v>33845</v>
      </c>
      <c r="F82" s="3">
        <f>SUM(F79:F81)</f>
        <v>34208</v>
      </c>
      <c r="G82" s="33">
        <f>AVERAGE(D82:F82)</f>
        <v>33054.666666666664</v>
      </c>
      <c r="H82" s="33">
        <f t="shared" ref="H82:K82" si="16">AVERAGE(E82:G82)</f>
        <v>33702.555555555555</v>
      </c>
      <c r="I82" s="33">
        <f t="shared" si="16"/>
        <v>33655.074074074073</v>
      </c>
      <c r="J82" s="33">
        <f t="shared" si="16"/>
        <v>33470.765432098764</v>
      </c>
      <c r="K82" s="33">
        <f t="shared" si="16"/>
        <v>33609.465020576135</v>
      </c>
    </row>
    <row r="83" spans="1:11" x14ac:dyDescent="0.2">
      <c r="B83" t="s">
        <v>73</v>
      </c>
      <c r="D83" s="7">
        <v>25541</v>
      </c>
      <c r="E83" s="7">
        <v>19552</v>
      </c>
      <c r="F83" s="7">
        <v>21658</v>
      </c>
    </row>
    <row r="84" spans="1:11" x14ac:dyDescent="0.2">
      <c r="B84" t="s">
        <v>74</v>
      </c>
      <c r="D84" s="7">
        <v>106912</v>
      </c>
      <c r="E84" s="7">
        <v>121580</v>
      </c>
      <c r="F84" s="7">
        <v>127774</v>
      </c>
    </row>
    <row r="85" spans="1:11" x14ac:dyDescent="0.2">
      <c r="B85" t="s">
        <v>75</v>
      </c>
      <c r="D85" s="7">
        <v>1095</v>
      </c>
      <c r="E85" s="7">
        <v>1423</v>
      </c>
      <c r="F85" s="7">
        <v>1696</v>
      </c>
    </row>
    <row r="86" spans="1:11" s="3" customFormat="1" x14ac:dyDescent="0.2">
      <c r="A86" s="21"/>
      <c r="B86" s="3" t="s">
        <v>76</v>
      </c>
      <c r="D86" s="3">
        <f>SUM(D82:D85)</f>
        <v>164659</v>
      </c>
      <c r="E86" s="3">
        <f>SUM(E82:E85)</f>
        <v>176400</v>
      </c>
      <c r="F86" s="3">
        <f>SUM(F82:F85)</f>
        <v>185336</v>
      </c>
    </row>
    <row r="88" spans="1:11" s="3" customFormat="1" x14ac:dyDescent="0.2">
      <c r="A88" s="21"/>
      <c r="B88" s="3" t="s">
        <v>77</v>
      </c>
      <c r="D88" s="3">
        <v>135225</v>
      </c>
      <c r="E88" s="3">
        <v>15332</v>
      </c>
      <c r="F88" s="3">
        <v>168301</v>
      </c>
    </row>
    <row r="90" spans="1:11" x14ac:dyDescent="0.2">
      <c r="A90" s="21" t="s">
        <v>49</v>
      </c>
      <c r="B90" s="19" t="s">
        <v>79</v>
      </c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">
      <c r="B91" s="20" t="s">
        <v>2</v>
      </c>
      <c r="C91" s="21" t="s">
        <v>12</v>
      </c>
      <c r="D91" s="21" t="s">
        <v>3</v>
      </c>
      <c r="E91" s="21" t="s">
        <v>4</v>
      </c>
      <c r="F91" s="21" t="s">
        <v>5</v>
      </c>
      <c r="G91" s="21" t="s">
        <v>6</v>
      </c>
      <c r="H91" s="21" t="s">
        <v>7</v>
      </c>
      <c r="I91" s="21" t="s">
        <v>8</v>
      </c>
      <c r="J91" s="21" t="s">
        <v>9</v>
      </c>
      <c r="K91" s="21" t="s">
        <v>10</v>
      </c>
    </row>
    <row r="92" spans="1:11" x14ac:dyDescent="0.2">
      <c r="B92" t="s">
        <v>86</v>
      </c>
      <c r="C92" s="8">
        <v>28148</v>
      </c>
      <c r="D92" s="8">
        <v>11249</v>
      </c>
      <c r="E92" s="7">
        <v>25263</v>
      </c>
      <c r="F92" s="7">
        <v>21184</v>
      </c>
      <c r="G92" s="23">
        <f>AVERAGE(D92:F92)</f>
        <v>19232</v>
      </c>
      <c r="H92" s="23">
        <f>D92</f>
        <v>11249</v>
      </c>
      <c r="I92" s="23">
        <f t="shared" ref="I92:K92" si="17">AVERAGE(F92:H92)</f>
        <v>17221.666666666668</v>
      </c>
      <c r="J92" s="23">
        <f t="shared" si="17"/>
        <v>15900.888888888891</v>
      </c>
      <c r="K92" s="23">
        <f t="shared" si="17"/>
        <v>14790.51851851852</v>
      </c>
    </row>
    <row r="93" spans="1:11" x14ac:dyDescent="0.2">
      <c r="B93" t="s">
        <v>78</v>
      </c>
      <c r="C93" s="8">
        <v>2000</v>
      </c>
      <c r="D93" s="6">
        <f>D69-D82</f>
        <v>-4869</v>
      </c>
      <c r="E93" s="6">
        <f t="shared" ref="E93:K93" si="18">E69-E82</f>
        <v>2957</v>
      </c>
      <c r="F93" s="6">
        <f t="shared" si="18"/>
        <v>563</v>
      </c>
      <c r="G93" s="6">
        <f t="shared" si="18"/>
        <v>-449.66666666666424</v>
      </c>
      <c r="H93" s="6">
        <f t="shared" si="18"/>
        <v>1023.4444444444453</v>
      </c>
      <c r="I93" s="6">
        <f t="shared" si="18"/>
        <v>378.925925925927</v>
      </c>
      <c r="J93" s="6">
        <f t="shared" si="18"/>
        <v>317.56790123457176</v>
      </c>
      <c r="K93" s="6">
        <f t="shared" si="18"/>
        <v>573.31275720164558</v>
      </c>
    </row>
    <row r="95" spans="1:11" x14ac:dyDescent="0.2">
      <c r="B95" t="s">
        <v>80</v>
      </c>
      <c r="D95" s="6">
        <f>D93-C93</f>
        <v>-6869</v>
      </c>
      <c r="E95" s="6">
        <f>E93-D93</f>
        <v>7826</v>
      </c>
      <c r="F95" s="6">
        <f>F93-E93</f>
        <v>-2394</v>
      </c>
      <c r="G95" s="6">
        <f t="shared" ref="G95:K95" si="19">G93-F93</f>
        <v>-1012.6666666666642</v>
      </c>
      <c r="H95" s="6">
        <f t="shared" si="19"/>
        <v>1473.1111111111095</v>
      </c>
      <c r="I95" s="6">
        <f t="shared" si="19"/>
        <v>-644.51851851851825</v>
      </c>
      <c r="J95" s="6">
        <f t="shared" si="19"/>
        <v>-61.35802469135524</v>
      </c>
      <c r="K95" s="6">
        <f t="shared" si="19"/>
        <v>255.74485596707382</v>
      </c>
    </row>
    <row r="97" spans="1:12" x14ac:dyDescent="0.2">
      <c r="A97" s="21" t="s">
        <v>49</v>
      </c>
      <c r="B97" s="19" t="s">
        <v>81</v>
      </c>
      <c r="C97" s="4"/>
      <c r="D97" s="4"/>
      <c r="E97" s="4"/>
      <c r="F97" s="4"/>
      <c r="G97" s="4"/>
      <c r="H97" s="4"/>
      <c r="I97" s="4"/>
      <c r="J97" s="4"/>
      <c r="K97" s="4"/>
    </row>
    <row r="98" spans="1:12" x14ac:dyDescent="0.2">
      <c r="B98" s="20" t="s">
        <v>2</v>
      </c>
      <c r="C98" s="21"/>
      <c r="D98" s="21" t="s">
        <v>3</v>
      </c>
      <c r="E98" s="21" t="s">
        <v>4</v>
      </c>
      <c r="F98" s="21" t="s">
        <v>5</v>
      </c>
      <c r="G98" s="21" t="s">
        <v>6</v>
      </c>
      <c r="H98" s="21" t="s">
        <v>7</v>
      </c>
      <c r="I98" s="21" t="s">
        <v>8</v>
      </c>
      <c r="J98" s="21" t="s">
        <v>9</v>
      </c>
      <c r="K98" s="21" t="s">
        <v>10</v>
      </c>
      <c r="L98" s="21" t="s">
        <v>90</v>
      </c>
    </row>
    <row r="99" spans="1:12" x14ac:dyDescent="0.2">
      <c r="B99" t="s">
        <v>103</v>
      </c>
      <c r="G99">
        <v>1</v>
      </c>
      <c r="H99">
        <v>2</v>
      </c>
      <c r="I99">
        <v>3</v>
      </c>
      <c r="J99">
        <v>4</v>
      </c>
      <c r="K99">
        <v>5</v>
      </c>
    </row>
    <row r="101" spans="1:12" x14ac:dyDescent="0.2">
      <c r="B101" t="s">
        <v>82</v>
      </c>
      <c r="D101" s="6">
        <f>D14</f>
        <v>144896</v>
      </c>
      <c r="E101" s="6">
        <f t="shared" ref="E101:F101" si="20">E14</f>
        <v>165748</v>
      </c>
      <c r="F101" s="6">
        <f t="shared" si="20"/>
        <v>181059</v>
      </c>
      <c r="G101" s="6">
        <f t="shared" ref="G101:K101" si="21">G14</f>
        <v>173329.4</v>
      </c>
      <c r="H101" s="6">
        <f t="shared" si="21"/>
        <v>197167.42199999999</v>
      </c>
      <c r="I101" s="6">
        <f t="shared" si="21"/>
        <v>221768.0673</v>
      </c>
      <c r="J101" s="6">
        <f t="shared" si="21"/>
        <v>242024.37540600004</v>
      </c>
      <c r="K101" s="6">
        <f t="shared" si="21"/>
        <v>261386.32543848007</v>
      </c>
    </row>
    <row r="102" spans="1:12" x14ac:dyDescent="0.2">
      <c r="B102" t="s">
        <v>83</v>
      </c>
      <c r="D102" s="10">
        <f>D27</f>
        <v>-121757</v>
      </c>
      <c r="E102" s="10">
        <f t="shared" ref="E102:F102" si="22">E27</f>
        <v>-137352</v>
      </c>
      <c r="F102" s="10">
        <f t="shared" si="22"/>
        <v>-146358</v>
      </c>
      <c r="G102" s="10">
        <f t="shared" ref="G102:K102" si="23">G27</f>
        <v>-143863.402</v>
      </c>
      <c r="H102" s="10">
        <f t="shared" si="23"/>
        <v>-163648.96025999999</v>
      </c>
      <c r="I102" s="10">
        <f t="shared" si="23"/>
        <v>-184067.49585899999</v>
      </c>
      <c r="J102" s="10">
        <f t="shared" si="23"/>
        <v>-200880.23158698002</v>
      </c>
      <c r="K102" s="10">
        <f t="shared" si="23"/>
        <v>-216950.65011393843</v>
      </c>
    </row>
    <row r="103" spans="1:12" x14ac:dyDescent="0.2">
      <c r="B103" t="s">
        <v>33</v>
      </c>
      <c r="D103" s="6">
        <f>D101+D102</f>
        <v>23139</v>
      </c>
      <c r="E103" s="6">
        <f t="shared" ref="E103:F103" si="24">E101+E102</f>
        <v>28396</v>
      </c>
      <c r="F103" s="6">
        <f t="shared" si="24"/>
        <v>34701</v>
      </c>
      <c r="G103" s="6">
        <f t="shared" ref="G103" si="25">G101+G102</f>
        <v>29465.997999999992</v>
      </c>
      <c r="H103" s="6">
        <f t="shared" ref="H103" si="26">H101+H102</f>
        <v>33518.461739999999</v>
      </c>
      <c r="I103" s="6">
        <f t="shared" ref="I103" si="27">I101+I102</f>
        <v>37700.571441000007</v>
      </c>
      <c r="J103" s="6">
        <f t="shared" ref="J103" si="28">J101+J102</f>
        <v>41144.143819020013</v>
      </c>
      <c r="K103" s="6">
        <f t="shared" ref="K103" si="29">K101+K102</f>
        <v>44435.675324541633</v>
      </c>
    </row>
    <row r="104" spans="1:12" x14ac:dyDescent="0.2">
      <c r="B104" t="s">
        <v>84</v>
      </c>
      <c r="D104" s="10">
        <f>C34</f>
        <v>-2373</v>
      </c>
      <c r="E104" s="10">
        <f t="shared" ref="E104:F104" si="30">D34</f>
        <v>-6359</v>
      </c>
      <c r="F104" s="10">
        <f t="shared" si="30"/>
        <v>3118</v>
      </c>
      <c r="G104" s="10">
        <f t="shared" ref="G104:K104" si="31">F34</f>
        <v>-4863</v>
      </c>
      <c r="H104" s="10">
        <f t="shared" si="31"/>
        <v>-5199.8819999999996</v>
      </c>
      <c r="I104" s="10">
        <f t="shared" si="31"/>
        <v>-1005.5538521999999</v>
      </c>
      <c r="J104" s="10">
        <f t="shared" si="31"/>
        <v>-1131.0171432300001</v>
      </c>
      <c r="K104" s="10">
        <f t="shared" si="31"/>
        <v>-1234.3243145706003</v>
      </c>
    </row>
    <row r="105" spans="1:12" x14ac:dyDescent="0.2">
      <c r="B105" t="s">
        <v>85</v>
      </c>
      <c r="D105" s="10">
        <f>D25</f>
        <v>-6920</v>
      </c>
      <c r="E105" s="10">
        <f t="shared" ref="E105:F105" si="32">E25</f>
        <v>-7722</v>
      </c>
      <c r="F105" s="10">
        <f t="shared" si="32"/>
        <v>-9072</v>
      </c>
      <c r="G105" s="10">
        <f t="shared" ref="G105:K105" si="33">G25</f>
        <v>-7904.666666666667</v>
      </c>
      <c r="H105" s="10">
        <f t="shared" si="33"/>
        <v>-8232.8888888888887</v>
      </c>
      <c r="I105" s="10">
        <f t="shared" si="33"/>
        <v>-8403.1851851851843</v>
      </c>
      <c r="J105" s="10">
        <f t="shared" si="33"/>
        <v>-8180.2469135802457</v>
      </c>
      <c r="K105" s="10">
        <f t="shared" si="33"/>
        <v>-8272.1069958847729</v>
      </c>
    </row>
    <row r="106" spans="1:12" x14ac:dyDescent="0.2">
      <c r="B106" t="s">
        <v>80</v>
      </c>
      <c r="D106" s="10">
        <f>D95</f>
        <v>-6869</v>
      </c>
      <c r="E106" s="10">
        <f t="shared" ref="E106:F106" si="34">E95</f>
        <v>7826</v>
      </c>
      <c r="F106" s="10">
        <f t="shared" si="34"/>
        <v>-2394</v>
      </c>
      <c r="G106" s="10">
        <f t="shared" ref="G106:K106" si="35">G95</f>
        <v>-1012.6666666666642</v>
      </c>
      <c r="H106" s="10">
        <f t="shared" si="35"/>
        <v>1473.1111111111095</v>
      </c>
      <c r="I106" s="10">
        <f t="shared" si="35"/>
        <v>-644.51851851851825</v>
      </c>
      <c r="J106" s="10">
        <f t="shared" si="35"/>
        <v>-61.35802469135524</v>
      </c>
      <c r="K106" s="10">
        <f t="shared" si="35"/>
        <v>255.74485596707382</v>
      </c>
    </row>
    <row r="107" spans="1:12" x14ac:dyDescent="0.2">
      <c r="B107" t="s">
        <v>86</v>
      </c>
      <c r="D107">
        <f>D92</f>
        <v>11249</v>
      </c>
      <c r="E107">
        <f t="shared" ref="E107:F107" si="36">E92</f>
        <v>25263</v>
      </c>
      <c r="F107">
        <f t="shared" si="36"/>
        <v>21184</v>
      </c>
      <c r="G107">
        <f t="shared" ref="G107:K107" si="37">G92</f>
        <v>19232</v>
      </c>
      <c r="H107">
        <f t="shared" si="37"/>
        <v>11249</v>
      </c>
      <c r="I107" s="17">
        <f t="shared" si="37"/>
        <v>17221.666666666668</v>
      </c>
      <c r="J107" s="17">
        <f t="shared" si="37"/>
        <v>15900.888888888891</v>
      </c>
      <c r="K107" s="17">
        <f t="shared" si="37"/>
        <v>14790.51851851852</v>
      </c>
    </row>
    <row r="109" spans="1:12" s="3" customFormat="1" x14ac:dyDescent="0.2">
      <c r="A109" s="21"/>
      <c r="B109" s="3" t="s">
        <v>81</v>
      </c>
      <c r="D109" s="3">
        <f>D103+D104+-1*D105-D106-D107</f>
        <v>23306</v>
      </c>
      <c r="E109" s="3">
        <f t="shared" ref="E109:K109" si="38">E103+E104+-1*E105-E106-E107</f>
        <v>-3330</v>
      </c>
      <c r="F109" s="3">
        <f t="shared" si="38"/>
        <v>28101</v>
      </c>
      <c r="G109" s="24">
        <f t="shared" si="38"/>
        <v>14288.331333333321</v>
      </c>
      <c r="H109" s="24">
        <f t="shared" si="38"/>
        <v>23829.357517777782</v>
      </c>
      <c r="I109" s="24">
        <f t="shared" si="38"/>
        <v>28521.054625837041</v>
      </c>
      <c r="J109" s="24">
        <f t="shared" si="38"/>
        <v>32353.842725172726</v>
      </c>
      <c r="K109" s="24">
        <f t="shared" si="38"/>
        <v>36427.194631370214</v>
      </c>
      <c r="L109" s="24">
        <f>K109*(1+J115)/(C122-J115)</f>
        <v>268340.88652714866</v>
      </c>
    </row>
    <row r="110" spans="1:12" x14ac:dyDescent="0.2">
      <c r="B110" s="3" t="s">
        <v>102</v>
      </c>
      <c r="G110" s="24">
        <f>G109/(POWER(1+$C$122,G99))</f>
        <v>12273.686232865011</v>
      </c>
      <c r="H110" s="24">
        <f t="shared" ref="H110:K110" si="39">H109/(POWER(1+$C$122,H99))</f>
        <v>17583.257710676913</v>
      </c>
      <c r="I110" s="24">
        <f t="shared" si="39"/>
        <v>18077.821457627542</v>
      </c>
      <c r="J110" s="24">
        <f t="shared" si="39"/>
        <v>17615.699230863207</v>
      </c>
      <c r="K110" s="24">
        <f t="shared" si="39"/>
        <v>17037.004844508174</v>
      </c>
      <c r="L110" s="24">
        <f>L109/(POWER(1+C122,K99))</f>
        <v>125503.07620465485</v>
      </c>
    </row>
    <row r="113" spans="1:10" s="3" customFormat="1" x14ac:dyDescent="0.2">
      <c r="A113" s="21" t="s">
        <v>88</v>
      </c>
      <c r="B113" s="19" t="s">
        <v>89</v>
      </c>
      <c r="C113" s="19"/>
      <c r="D113" s="19"/>
      <c r="E113" s="19"/>
      <c r="F113" s="19"/>
    </row>
    <row r="114" spans="1:10" x14ac:dyDescent="0.2">
      <c r="B114" t="s">
        <v>94</v>
      </c>
      <c r="C114" s="25">
        <v>6.6E-3</v>
      </c>
      <c r="E114" t="s">
        <v>98</v>
      </c>
      <c r="F114" s="3">
        <f>F88</f>
        <v>168301</v>
      </c>
    </row>
    <row r="115" spans="1:10" x14ac:dyDescent="0.2">
      <c r="B115" t="s">
        <v>95</v>
      </c>
      <c r="C115" s="8">
        <v>1.4</v>
      </c>
      <c r="E115" t="s">
        <v>99</v>
      </c>
      <c r="F115" s="12">
        <f>F84+F81</f>
        <v>143528</v>
      </c>
      <c r="I115" t="s">
        <v>91</v>
      </c>
      <c r="J115" s="25">
        <v>2.5000000000000001E-2</v>
      </c>
    </row>
    <row r="116" spans="1:10" x14ac:dyDescent="0.2">
      <c r="B116" t="s">
        <v>96</v>
      </c>
      <c r="C116" s="14">
        <v>0.05</v>
      </c>
      <c r="E116" t="s">
        <v>100</v>
      </c>
      <c r="F116" s="3">
        <f>SUM(F114:F115)</f>
        <v>311829</v>
      </c>
    </row>
    <row r="117" spans="1:10" x14ac:dyDescent="0.2">
      <c r="B117" s="3" t="s">
        <v>97</v>
      </c>
      <c r="C117" s="26">
        <f>C114+C115*(C116-C114)</f>
        <v>6.7359999999999989E-2</v>
      </c>
    </row>
    <row r="119" spans="1:10" x14ac:dyDescent="0.2">
      <c r="B119" t="s">
        <v>47</v>
      </c>
      <c r="C119" s="15">
        <f>F52</f>
        <v>0.28529437192011758</v>
      </c>
    </row>
    <row r="120" spans="1:10" x14ac:dyDescent="0.2">
      <c r="B120" t="s">
        <v>48</v>
      </c>
      <c r="C120" s="15">
        <f>F55</f>
        <v>2.6858648285917851E-2</v>
      </c>
    </row>
    <row r="122" spans="1:10" x14ac:dyDescent="0.2">
      <c r="B122" s="27" t="s">
        <v>101</v>
      </c>
      <c r="C122" s="27">
        <f>C117*(F114/F116) + C119*(F115/F116)*(1-C120)</f>
        <v>0.16414344168858855</v>
      </c>
    </row>
    <row r="127" spans="1:10" s="3" customFormat="1" x14ac:dyDescent="0.2">
      <c r="A127" s="21" t="s">
        <v>49</v>
      </c>
      <c r="B127" s="19" t="s">
        <v>93</v>
      </c>
      <c r="C127" s="19"/>
    </row>
    <row r="128" spans="1:10" x14ac:dyDescent="0.2">
      <c r="B128" t="s">
        <v>104</v>
      </c>
      <c r="C128" s="17">
        <f>SUM(G110:L110)</f>
        <v>208090.54568119568</v>
      </c>
    </row>
    <row r="129" spans="2:3" x14ac:dyDescent="0.2">
      <c r="B129" t="s">
        <v>105</v>
      </c>
      <c r="C129" s="7">
        <f>F115</f>
        <v>143528</v>
      </c>
    </row>
    <row r="130" spans="2:3" x14ac:dyDescent="0.2">
      <c r="B130" t="s">
        <v>106</v>
      </c>
      <c r="C130" s="7">
        <f>F62</f>
        <v>14097</v>
      </c>
    </row>
    <row r="131" spans="2:3" x14ac:dyDescent="0.2">
      <c r="B131" t="s">
        <v>107</v>
      </c>
      <c r="C131" s="8">
        <v>0</v>
      </c>
    </row>
    <row r="132" spans="2:3" x14ac:dyDescent="0.2">
      <c r="B132" t="s">
        <v>108</v>
      </c>
      <c r="C132" s="8">
        <v>0</v>
      </c>
    </row>
    <row r="134" spans="2:3" x14ac:dyDescent="0.2">
      <c r="B134" t="s">
        <v>92</v>
      </c>
      <c r="C134" s="17">
        <f>C128-C129+C130-C131-C132</f>
        <v>78659.545681195683</v>
      </c>
    </row>
    <row r="135" spans="2:3" x14ac:dyDescent="0.2">
      <c r="B135" t="s">
        <v>109</v>
      </c>
      <c r="C135">
        <v>9591</v>
      </c>
    </row>
    <row r="136" spans="2:3" ht="17" thickBot="1" x14ac:dyDescent="0.25"/>
    <row r="137" spans="2:3" x14ac:dyDescent="0.2">
      <c r="B137" s="29" t="s">
        <v>110</v>
      </c>
      <c r="C137" s="32">
        <f>C134/C135</f>
        <v>8.20139147963671</v>
      </c>
    </row>
    <row r="138" spans="2:3" ht="17" thickBot="1" x14ac:dyDescent="0.25">
      <c r="B138" s="30" t="s">
        <v>111</v>
      </c>
      <c r="C138" s="31">
        <f>C137/C4-1</f>
        <v>-0.68816001978567642</v>
      </c>
    </row>
  </sheetData>
  <pageMargins left="0.7" right="0.7" top="0.75" bottom="0.75" header="0.3" footer="0.3"/>
  <ignoredErrors>
    <ignoredError sqref="G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2020-09-07T17:45:08Z</dcterms:created>
  <dcterms:modified xsi:type="dcterms:W3CDTF">2020-11-24T14:12:51Z</dcterms:modified>
</cp:coreProperties>
</file>