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/Desktop/"/>
    </mc:Choice>
  </mc:AlternateContent>
  <xr:revisionPtr revIDLastSave="0" documentId="13_ncr:1_{CF3166F1-5C5C-8E48-B708-ED9A2685007B}" xr6:coauthVersionLast="45" xr6:coauthVersionMax="45" xr10:uidLastSave="{00000000-0000-0000-0000-000000000000}"/>
  <bookViews>
    <workbookView xWindow="0" yWindow="0" windowWidth="25600" windowHeight="16000" xr2:uid="{DCEF7679-8598-4B44-8BDA-FABC621309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1" l="1"/>
  <c r="B104" i="1"/>
  <c r="C97" i="1"/>
  <c r="B97" i="1"/>
  <c r="C90" i="1"/>
  <c r="D90" i="1"/>
  <c r="E90" i="1"/>
  <c r="F90" i="1"/>
  <c r="G90" i="1"/>
  <c r="H90" i="1"/>
  <c r="I90" i="1"/>
  <c r="J90" i="1"/>
  <c r="B90" i="1"/>
  <c r="C84" i="1"/>
  <c r="D84" i="1"/>
  <c r="D91" i="1" s="1"/>
  <c r="E84" i="1"/>
  <c r="F84" i="1"/>
  <c r="F91" i="1" s="1"/>
  <c r="G84" i="1"/>
  <c r="H84" i="1"/>
  <c r="H91" i="1" s="1"/>
  <c r="I84" i="1"/>
  <c r="J84" i="1"/>
  <c r="J91" i="1" s="1"/>
  <c r="B84" i="1"/>
  <c r="C79" i="1"/>
  <c r="D79" i="1"/>
  <c r="E79" i="1"/>
  <c r="F79" i="1"/>
  <c r="G79" i="1"/>
  <c r="H79" i="1"/>
  <c r="I79" i="1"/>
  <c r="J79" i="1"/>
  <c r="B79" i="1"/>
  <c r="C92" i="1" l="1"/>
  <c r="B91" i="1"/>
  <c r="F92" i="1"/>
  <c r="D92" i="1"/>
  <c r="I91" i="1"/>
  <c r="G91" i="1"/>
  <c r="E91" i="1"/>
  <c r="C91" i="1"/>
  <c r="I92" i="1"/>
  <c r="H92" i="1"/>
  <c r="J92" i="1"/>
  <c r="G92" i="1"/>
  <c r="E92" i="1"/>
  <c r="A66" i="1" l="1"/>
  <c r="K60" i="1"/>
  <c r="L60" i="1" s="1"/>
  <c r="M60" i="1" s="1"/>
  <c r="N60" i="1" s="1"/>
  <c r="K43" i="1"/>
  <c r="K24" i="1"/>
  <c r="L24" i="1" s="1"/>
  <c r="M24" i="1" s="1"/>
  <c r="N24" i="1" s="1"/>
  <c r="O24" i="1" s="1"/>
  <c r="P24" i="1" s="1"/>
  <c r="Q24" i="1" s="1"/>
  <c r="R24" i="1" s="1"/>
  <c r="S24" i="1" s="1"/>
  <c r="K22" i="1"/>
  <c r="K20" i="1"/>
  <c r="L20" i="1" s="1"/>
  <c r="M20" i="1" s="1"/>
  <c r="N20" i="1" s="1"/>
  <c r="O20" i="1" s="1"/>
  <c r="P20" i="1" s="1"/>
  <c r="Q20" i="1" s="1"/>
  <c r="R20" i="1" s="1"/>
  <c r="S20" i="1" s="1"/>
  <c r="C26" i="1"/>
  <c r="D26" i="1"/>
  <c r="E26" i="1"/>
  <c r="F26" i="1"/>
  <c r="G26" i="1"/>
  <c r="H26" i="1"/>
  <c r="I26" i="1"/>
  <c r="J26" i="1"/>
  <c r="B26" i="1"/>
  <c r="D23" i="1"/>
  <c r="E23" i="1"/>
  <c r="F23" i="1"/>
  <c r="G23" i="1"/>
  <c r="H23" i="1"/>
  <c r="I23" i="1"/>
  <c r="J23" i="1"/>
  <c r="C23" i="1"/>
  <c r="D25" i="1"/>
  <c r="E25" i="1"/>
  <c r="F25" i="1"/>
  <c r="G25" i="1"/>
  <c r="H25" i="1"/>
  <c r="I25" i="1"/>
  <c r="J25" i="1"/>
  <c r="C25" i="1"/>
  <c r="J21" i="1"/>
  <c r="I21" i="1"/>
  <c r="H21" i="1"/>
  <c r="G21" i="1"/>
  <c r="F21" i="1"/>
  <c r="E21" i="1"/>
  <c r="D21" i="1"/>
  <c r="C21" i="1"/>
  <c r="C41" i="1"/>
  <c r="D41" i="1"/>
  <c r="E41" i="1"/>
  <c r="F41" i="1"/>
  <c r="G41" i="1"/>
  <c r="G45" i="1" s="1"/>
  <c r="G54" i="1" s="1"/>
  <c r="H41" i="1"/>
  <c r="I41" i="1"/>
  <c r="J41" i="1"/>
  <c r="B41" i="1"/>
  <c r="J36" i="1" l="1"/>
  <c r="J85" i="1"/>
  <c r="J80" i="1"/>
  <c r="H36" i="1"/>
  <c r="H85" i="1"/>
  <c r="H80" i="1"/>
  <c r="F57" i="1"/>
  <c r="F85" i="1"/>
  <c r="F80" i="1"/>
  <c r="D36" i="1"/>
  <c r="D80" i="1"/>
  <c r="D85" i="1"/>
  <c r="B57" i="1"/>
  <c r="B80" i="1"/>
  <c r="B85" i="1"/>
  <c r="I57" i="1"/>
  <c r="I85" i="1"/>
  <c r="I80" i="1"/>
  <c r="G57" i="1"/>
  <c r="G80" i="1"/>
  <c r="G85" i="1"/>
  <c r="E57" i="1"/>
  <c r="E80" i="1"/>
  <c r="E85" i="1"/>
  <c r="C57" i="1"/>
  <c r="C85" i="1"/>
  <c r="C80" i="1"/>
  <c r="G65" i="1"/>
  <c r="G68" i="1" s="1"/>
  <c r="G89" i="1" s="1"/>
  <c r="G95" i="1" s="1"/>
  <c r="G97" i="1" s="1"/>
  <c r="L43" i="1"/>
  <c r="M43" i="1" s="1"/>
  <c r="D45" i="1"/>
  <c r="D65" i="1" s="1"/>
  <c r="D68" i="1" s="1"/>
  <c r="D89" i="1" s="1"/>
  <c r="D95" i="1" s="1"/>
  <c r="D97" i="1" s="1"/>
  <c r="C27" i="1"/>
  <c r="H27" i="1"/>
  <c r="K29" i="1"/>
  <c r="K26" i="1"/>
  <c r="K31" i="1" s="1"/>
  <c r="L22" i="1"/>
  <c r="O60" i="1"/>
  <c r="H30" i="1"/>
  <c r="D30" i="1"/>
  <c r="H34" i="1"/>
  <c r="D34" i="1"/>
  <c r="H38" i="1"/>
  <c r="D38" i="1"/>
  <c r="H57" i="1"/>
  <c r="D57" i="1"/>
  <c r="J30" i="1"/>
  <c r="F30" i="1"/>
  <c r="J34" i="1"/>
  <c r="F34" i="1"/>
  <c r="J38" i="1"/>
  <c r="F38" i="1"/>
  <c r="J57" i="1"/>
  <c r="D54" i="1"/>
  <c r="B32" i="1"/>
  <c r="I32" i="1"/>
  <c r="G32" i="1"/>
  <c r="E32" i="1"/>
  <c r="C32" i="1"/>
  <c r="B36" i="1"/>
  <c r="I36" i="1"/>
  <c r="G36" i="1"/>
  <c r="E36" i="1"/>
  <c r="C36" i="1"/>
  <c r="G46" i="1"/>
  <c r="B45" i="1"/>
  <c r="B65" i="1" s="1"/>
  <c r="B68" i="1" s="1"/>
  <c r="B89" i="1" s="1"/>
  <c r="C45" i="1"/>
  <c r="C65" i="1" s="1"/>
  <c r="C68" i="1" s="1"/>
  <c r="C89" i="1" s="1"/>
  <c r="D27" i="1"/>
  <c r="J27" i="1"/>
  <c r="I45" i="1"/>
  <c r="I65" i="1" s="1"/>
  <c r="I68" i="1" s="1"/>
  <c r="I89" i="1" s="1"/>
  <c r="I95" i="1" s="1"/>
  <c r="I97" i="1" s="1"/>
  <c r="F27" i="1"/>
  <c r="B30" i="1"/>
  <c r="I30" i="1"/>
  <c r="G30" i="1"/>
  <c r="E30" i="1"/>
  <c r="C30" i="1"/>
  <c r="J32" i="1"/>
  <c r="H32" i="1"/>
  <c r="F32" i="1"/>
  <c r="D32" i="1"/>
  <c r="B34" i="1"/>
  <c r="I34" i="1"/>
  <c r="G34" i="1"/>
  <c r="E34" i="1"/>
  <c r="C34" i="1"/>
  <c r="F36" i="1"/>
  <c r="B38" i="1"/>
  <c r="I38" i="1"/>
  <c r="G38" i="1"/>
  <c r="E38" i="1"/>
  <c r="C38" i="1"/>
  <c r="G27" i="1"/>
  <c r="F45" i="1"/>
  <c r="F65" i="1" s="1"/>
  <c r="F68" i="1" s="1"/>
  <c r="F89" i="1" s="1"/>
  <c r="F95" i="1" s="1"/>
  <c r="F97" i="1" s="1"/>
  <c r="E45" i="1"/>
  <c r="E65" i="1" s="1"/>
  <c r="E68" i="1" s="1"/>
  <c r="E89" i="1" s="1"/>
  <c r="E95" i="1" s="1"/>
  <c r="E97" i="1" s="1"/>
  <c r="J45" i="1"/>
  <c r="J65" i="1" s="1"/>
  <c r="J68" i="1" s="1"/>
  <c r="J89" i="1" s="1"/>
  <c r="J95" i="1" s="1"/>
  <c r="J97" i="1" s="1"/>
  <c r="H45" i="1"/>
  <c r="H65" i="1" s="1"/>
  <c r="H68" i="1" s="1"/>
  <c r="H89" i="1" s="1"/>
  <c r="H95" i="1" s="1"/>
  <c r="H97" i="1" s="1"/>
  <c r="I27" i="1"/>
  <c r="E27" i="1"/>
  <c r="D59" i="1"/>
  <c r="G62" i="1"/>
  <c r="G59" i="1"/>
  <c r="D46" i="1" l="1"/>
  <c r="K56" i="1"/>
  <c r="K90" i="1" s="1"/>
  <c r="K79" i="1"/>
  <c r="K92" i="1" s="1"/>
  <c r="K84" i="1"/>
  <c r="K91" i="1" s="1"/>
  <c r="D62" i="1"/>
  <c r="P60" i="1"/>
  <c r="Q60" i="1" s="1"/>
  <c r="R60" i="1" s="1"/>
  <c r="K35" i="1"/>
  <c r="K66" i="1" s="1"/>
  <c r="K27" i="1"/>
  <c r="K37" i="1"/>
  <c r="K33" i="1"/>
  <c r="N43" i="1"/>
  <c r="O43" i="1" s="1"/>
  <c r="P43" i="1" s="1"/>
  <c r="M22" i="1"/>
  <c r="L26" i="1"/>
  <c r="L31" i="1" s="1"/>
  <c r="J54" i="1"/>
  <c r="J46" i="1"/>
  <c r="F54" i="1"/>
  <c r="F46" i="1"/>
  <c r="C54" i="1"/>
  <c r="C46" i="1"/>
  <c r="H54" i="1"/>
  <c r="H46" i="1"/>
  <c r="E54" i="1"/>
  <c r="E46" i="1"/>
  <c r="I54" i="1"/>
  <c r="I46" i="1"/>
  <c r="B54" i="1"/>
  <c r="B46" i="1"/>
  <c r="F62" i="1"/>
  <c r="L79" i="1" l="1"/>
  <c r="L92" i="1" s="1"/>
  <c r="L84" i="1"/>
  <c r="L91" i="1" s="1"/>
  <c r="F59" i="1"/>
  <c r="J62" i="1"/>
  <c r="S60" i="1"/>
  <c r="K41" i="1"/>
  <c r="Q43" i="1"/>
  <c r="R43" i="1" s="1"/>
  <c r="S43" i="1" s="1"/>
  <c r="L56" i="1"/>
  <c r="L90" i="1" s="1"/>
  <c r="L37" i="1"/>
  <c r="L33" i="1"/>
  <c r="L35" i="1"/>
  <c r="L66" i="1" s="1"/>
  <c r="L29" i="1"/>
  <c r="L27" i="1"/>
  <c r="N22" i="1"/>
  <c r="M26" i="1"/>
  <c r="M31" i="1" s="1"/>
  <c r="B62" i="1"/>
  <c r="B59" i="1"/>
  <c r="I62" i="1"/>
  <c r="I59" i="1"/>
  <c r="E62" i="1"/>
  <c r="E59" i="1"/>
  <c r="H62" i="1"/>
  <c r="H59" i="1"/>
  <c r="C62" i="1"/>
  <c r="C59" i="1"/>
  <c r="J59" i="1"/>
  <c r="M79" i="1" l="1"/>
  <c r="M84" i="1"/>
  <c r="M91" i="1" s="1"/>
  <c r="N26" i="1"/>
  <c r="N31" i="1" s="1"/>
  <c r="O22" i="1"/>
  <c r="L41" i="1"/>
  <c r="M35" i="1"/>
  <c r="M66" i="1" s="1"/>
  <c r="M29" i="1"/>
  <c r="M27" i="1"/>
  <c r="M56" i="1"/>
  <c r="M90" i="1" s="1"/>
  <c r="M37" i="1"/>
  <c r="M33" i="1"/>
  <c r="N79" i="1" l="1"/>
  <c r="N84" i="1"/>
  <c r="N91" i="1" s="1"/>
  <c r="N92" i="1"/>
  <c r="M92" i="1"/>
  <c r="M41" i="1"/>
  <c r="P22" i="1"/>
  <c r="O26" i="1"/>
  <c r="O31" i="1" s="1"/>
  <c r="N56" i="1"/>
  <c r="N90" i="1" s="1"/>
  <c r="N37" i="1"/>
  <c r="N33" i="1"/>
  <c r="N35" i="1"/>
  <c r="N66" i="1" s="1"/>
  <c r="N29" i="1"/>
  <c r="N27" i="1"/>
  <c r="O79" i="1" l="1"/>
  <c r="O84" i="1"/>
  <c r="O91" i="1" s="1"/>
  <c r="P26" i="1"/>
  <c r="P31" i="1" s="1"/>
  <c r="Q22" i="1"/>
  <c r="N41" i="1"/>
  <c r="O35" i="1"/>
  <c r="O66" i="1" s="1"/>
  <c r="O29" i="1"/>
  <c r="O27" i="1"/>
  <c r="O56" i="1"/>
  <c r="O90" i="1" s="1"/>
  <c r="O37" i="1"/>
  <c r="O33" i="1"/>
  <c r="P79" i="1" l="1"/>
  <c r="P84" i="1"/>
  <c r="P91" i="1" s="1"/>
  <c r="P92" i="1"/>
  <c r="O92" i="1"/>
  <c r="O41" i="1"/>
  <c r="Q26" i="1"/>
  <c r="Q31" i="1" s="1"/>
  <c r="R22" i="1"/>
  <c r="P56" i="1"/>
  <c r="P90" i="1" s="1"/>
  <c r="P37" i="1"/>
  <c r="P33" i="1"/>
  <c r="P35" i="1"/>
  <c r="P66" i="1" s="1"/>
  <c r="P29" i="1"/>
  <c r="P27" i="1"/>
  <c r="Q79" i="1" l="1"/>
  <c r="Q84" i="1"/>
  <c r="Q91" i="1" s="1"/>
  <c r="Q35" i="1"/>
  <c r="Q66" i="1" s="1"/>
  <c r="Q29" i="1"/>
  <c r="Q27" i="1"/>
  <c r="Q56" i="1"/>
  <c r="Q90" i="1" s="1"/>
  <c r="Q37" i="1"/>
  <c r="Q33" i="1"/>
  <c r="P41" i="1"/>
  <c r="R26" i="1"/>
  <c r="R31" i="1" s="1"/>
  <c r="S22" i="1"/>
  <c r="S26" i="1" s="1"/>
  <c r="S31" i="1" s="1"/>
  <c r="S79" i="1" l="1"/>
  <c r="S84" i="1"/>
  <c r="S91" i="1" s="1"/>
  <c r="R79" i="1"/>
  <c r="R84" i="1"/>
  <c r="R91" i="1" s="1"/>
  <c r="R92" i="1"/>
  <c r="Q92" i="1"/>
  <c r="S35" i="1"/>
  <c r="S66" i="1" s="1"/>
  <c r="S29" i="1"/>
  <c r="S27" i="1"/>
  <c r="S56" i="1"/>
  <c r="S90" i="1" s="1"/>
  <c r="S37" i="1"/>
  <c r="S33" i="1"/>
  <c r="R56" i="1"/>
  <c r="R90" i="1" s="1"/>
  <c r="R37" i="1"/>
  <c r="R33" i="1"/>
  <c r="R35" i="1"/>
  <c r="R66" i="1" s="1"/>
  <c r="R29" i="1"/>
  <c r="R27" i="1"/>
  <c r="Q41" i="1"/>
  <c r="S92" i="1" l="1"/>
  <c r="R41" i="1"/>
  <c r="S41" i="1"/>
  <c r="M45" i="1" l="1"/>
  <c r="M65" i="1" s="1"/>
  <c r="M68" i="1" s="1"/>
  <c r="M89" i="1" s="1"/>
  <c r="K45" i="1"/>
  <c r="L45" i="1"/>
  <c r="M95" i="1" l="1"/>
  <c r="M97" i="1" s="1"/>
  <c r="K54" i="1"/>
  <c r="K59" i="1" s="1"/>
  <c r="K65" i="1"/>
  <c r="K68" i="1" s="1"/>
  <c r="K89" i="1" s="1"/>
  <c r="L46" i="1"/>
  <c r="L65" i="1"/>
  <c r="L68" i="1" s="1"/>
  <c r="L89" i="1" s="1"/>
  <c r="K62" i="1"/>
  <c r="K46" i="1"/>
  <c r="M54" i="1"/>
  <c r="M46" i="1"/>
  <c r="L54" i="1"/>
  <c r="N45" i="1"/>
  <c r="N65" i="1" s="1"/>
  <c r="N68" i="1" s="1"/>
  <c r="N89" i="1" s="1"/>
  <c r="K95" i="1" l="1"/>
  <c r="K97" i="1" s="1"/>
  <c r="L95" i="1"/>
  <c r="L97" i="1" s="1"/>
  <c r="N95" i="1"/>
  <c r="N97" i="1" s="1"/>
  <c r="L62" i="1"/>
  <c r="L59" i="1"/>
  <c r="M62" i="1"/>
  <c r="M59" i="1"/>
  <c r="N46" i="1"/>
  <c r="N54" i="1"/>
  <c r="O45" i="1"/>
  <c r="O65" i="1" s="1"/>
  <c r="O68" i="1" s="1"/>
  <c r="O89" i="1" s="1"/>
  <c r="O95" i="1" l="1"/>
  <c r="O97" i="1" s="1"/>
  <c r="N62" i="1"/>
  <c r="N59" i="1"/>
  <c r="O54" i="1"/>
  <c r="O46" i="1"/>
  <c r="O62" i="1" l="1"/>
  <c r="O59" i="1"/>
  <c r="P45" i="1"/>
  <c r="P65" i="1" s="1"/>
  <c r="P68" i="1" s="1"/>
  <c r="P89" i="1" s="1"/>
  <c r="P95" i="1" l="1"/>
  <c r="P97" i="1" s="1"/>
  <c r="Q45" i="1"/>
  <c r="Q65" i="1" s="1"/>
  <c r="Q68" i="1" s="1"/>
  <c r="Q89" i="1" s="1"/>
  <c r="S45" i="1"/>
  <c r="S65" i="1" s="1"/>
  <c r="S68" i="1" s="1"/>
  <c r="S89" i="1" s="1"/>
  <c r="R45" i="1"/>
  <c r="R65" i="1" s="1"/>
  <c r="R68" i="1" s="1"/>
  <c r="R89" i="1" s="1"/>
  <c r="P46" i="1"/>
  <c r="P54" i="1"/>
  <c r="S95" i="1" l="1"/>
  <c r="T95" i="1" s="1"/>
  <c r="S97" i="1" s="1"/>
  <c r="R95" i="1"/>
  <c r="R97" i="1" s="1"/>
  <c r="Q95" i="1"/>
  <c r="Q97" i="1" s="1"/>
  <c r="P62" i="1"/>
  <c r="P59" i="1"/>
  <c r="S46" i="1"/>
  <c r="S54" i="1"/>
  <c r="R46" i="1"/>
  <c r="R54" i="1"/>
  <c r="Q54" i="1"/>
  <c r="Q46" i="1"/>
  <c r="B102" i="1" l="1"/>
  <c r="B106" i="1" s="1"/>
  <c r="B109" i="1" s="1"/>
  <c r="R62" i="1"/>
  <c r="R59" i="1"/>
  <c r="S62" i="1"/>
  <c r="S59" i="1"/>
  <c r="Q62" i="1"/>
  <c r="Q59" i="1"/>
</calcChain>
</file>

<file path=xl/sharedStrings.xml><?xml version="1.0" encoding="utf-8"?>
<sst xmlns="http://schemas.openxmlformats.org/spreadsheetml/2006/main" count="82" uniqueCount="72">
  <si>
    <t>(in millions except per share)</t>
  </si>
  <si>
    <t>Ticker</t>
  </si>
  <si>
    <t xml:space="preserve">Nasdaq: SBUX </t>
  </si>
  <si>
    <t>General Information</t>
  </si>
  <si>
    <t>Current Stock Price</t>
  </si>
  <si>
    <t>Market Capitalization</t>
  </si>
  <si>
    <t>Dividend Yield</t>
  </si>
  <si>
    <t>52 Week High</t>
  </si>
  <si>
    <t>52 Week Low</t>
  </si>
  <si>
    <t>Net revenues:</t>
  </si>
  <si>
    <t>Company-operated stores</t>
  </si>
  <si>
    <t>Licensed stores</t>
  </si>
  <si>
    <t>Other</t>
  </si>
  <si>
    <t>Total net revenues</t>
  </si>
  <si>
    <t>Store operating expenses</t>
  </si>
  <si>
    <t>Other operating expenses</t>
  </si>
  <si>
    <t>Depreciation and amortization expenses</t>
  </si>
  <si>
    <t>General and administrative expenses</t>
  </si>
  <si>
    <t>Total operating expenses</t>
  </si>
  <si>
    <t>Income from equity investees</t>
  </si>
  <si>
    <t>Operating income</t>
  </si>
  <si>
    <t>Gain resulting from acquisition of joint venture</t>
  </si>
  <si>
    <t>Net gain resulting from divestiture of certain operations</t>
  </si>
  <si>
    <t>Interest income and other, net</t>
  </si>
  <si>
    <t>Interest expense</t>
  </si>
  <si>
    <t>Earnings before income taxes</t>
  </si>
  <si>
    <t>Income tax expense</t>
  </si>
  <si>
    <t>Net earnings including noncontrolling interests</t>
  </si>
  <si>
    <t>Net loss attributable to noncontrolling interests</t>
  </si>
  <si>
    <t>Net earnings attributable to Starbucks</t>
  </si>
  <si>
    <t>Income Statement</t>
  </si>
  <si>
    <t>Year</t>
  </si>
  <si>
    <t>Actuals</t>
  </si>
  <si>
    <t>Projections</t>
  </si>
  <si>
    <t>Restructuring and impairments / Litigation charge(credit)</t>
  </si>
  <si>
    <t>Loss from Extinguishment of Debt</t>
  </si>
  <si>
    <t>Cost of Sales, Store Occupancy costs</t>
  </si>
  <si>
    <t xml:space="preserve">   % growth</t>
  </si>
  <si>
    <t xml:space="preserve">   % margin</t>
  </si>
  <si>
    <t xml:space="preserve">   % Revenue</t>
  </si>
  <si>
    <t xml:space="preserve">   tax rate</t>
  </si>
  <si>
    <t>Operating Income</t>
  </si>
  <si>
    <t>Stock Based Compensation</t>
  </si>
  <si>
    <t>Ajd. EBITDA</t>
  </si>
  <si>
    <t>Balance Sheet</t>
  </si>
  <si>
    <t>Current Assets</t>
  </si>
  <si>
    <t xml:space="preserve"> (-) Unrestricted Cash</t>
  </si>
  <si>
    <t xml:space="preserve"> (-) Current Liabilities</t>
  </si>
  <si>
    <t xml:space="preserve"> (+) Short Term Debt</t>
  </si>
  <si>
    <t xml:space="preserve">  Net Working Capital</t>
  </si>
  <si>
    <t>PP&amp;E</t>
  </si>
  <si>
    <t>Total Capital Expenditure</t>
  </si>
  <si>
    <t xml:space="preserve">   % of Revenue</t>
  </si>
  <si>
    <t>Discounted Cash Flow Model</t>
  </si>
  <si>
    <t>Adjusted EBITDA</t>
  </si>
  <si>
    <t xml:space="preserve"> - Taxes</t>
  </si>
  <si>
    <t xml:space="preserve"> - Capex</t>
  </si>
  <si>
    <t xml:space="preserve"> - Change in NWC</t>
  </si>
  <si>
    <t xml:space="preserve"> - Other</t>
  </si>
  <si>
    <t>Unlevered FCF</t>
  </si>
  <si>
    <t>Other PP&amp;E</t>
  </si>
  <si>
    <t>WACC</t>
  </si>
  <si>
    <t>Enterprise Value</t>
  </si>
  <si>
    <t>Long Term Growth Rate</t>
  </si>
  <si>
    <t>Terminal</t>
  </si>
  <si>
    <t>FCF to DCF</t>
  </si>
  <si>
    <t xml:space="preserve"> (-) Debt</t>
  </si>
  <si>
    <t>(+) Cash</t>
  </si>
  <si>
    <t>Equity Value</t>
  </si>
  <si>
    <t>Diluted Shares</t>
  </si>
  <si>
    <t>Fair Value of Share</t>
  </si>
  <si>
    <t>Starbucks Corporation Discounted Cash Flow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</si>
</sst>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#,##0.0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Times New Roman"/>
      <family val="1"/>
    </font>
    <font>
      <sz val="12"/>
      <name val="Times"/>
      <family val="1"/>
    </font>
    <font>
      <sz val="12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rgb="FF082BBC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82BBC"/>
      <name val="Calibri"/>
      <family val="2"/>
      <scheme val="minor"/>
    </font>
    <font>
      <i/>
      <sz val="12"/>
      <color rgb="FF082BBC"/>
      <name val="Calibri"/>
      <family val="2"/>
      <scheme val="minor"/>
    </font>
    <font>
      <b/>
      <sz val="1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" fontId="5" fillId="0" borderId="0" xfId="0" applyNumberFormat="1" applyFont="1"/>
    <xf numFmtId="4" fontId="0" fillId="0" borderId="0" xfId="0" applyNumberFormat="1"/>
    <xf numFmtId="4" fontId="4" fillId="0" borderId="0" xfId="0" applyNumberFormat="1" applyFont="1"/>
    <xf numFmtId="4" fontId="11" fillId="0" borderId="0" xfId="0" applyNumberFormat="1" applyFont="1"/>
    <xf numFmtId="0" fontId="1" fillId="0" borderId="0" xfId="0" applyFont="1"/>
    <xf numFmtId="9" fontId="4" fillId="0" borderId="0" xfId="0" applyNumberFormat="1" applyFont="1"/>
    <xf numFmtId="10" fontId="8" fillId="0" borderId="0" xfId="0" applyNumberFormat="1" applyFont="1"/>
    <xf numFmtId="10" fontId="11" fillId="0" borderId="0" xfId="0" applyNumberFormat="1" applyFont="1"/>
    <xf numFmtId="9" fontId="11" fillId="0" borderId="0" xfId="0" applyNumberFormat="1" applyFont="1"/>
    <xf numFmtId="0" fontId="12" fillId="0" borderId="0" xfId="0" applyFont="1"/>
    <xf numFmtId="165" fontId="11" fillId="0" borderId="0" xfId="0" applyNumberFormat="1" applyFont="1"/>
    <xf numFmtId="3" fontId="0" fillId="0" borderId="0" xfId="0" applyNumberFormat="1"/>
    <xf numFmtId="165" fontId="7" fillId="0" borderId="0" xfId="0" applyNumberFormat="1" applyFont="1"/>
    <xf numFmtId="3" fontId="7" fillId="0" borderId="0" xfId="0" applyNumberFormat="1" applyFont="1"/>
    <xf numFmtId="165" fontId="4" fillId="0" borderId="0" xfId="0" applyNumberFormat="1" applyFont="1"/>
    <xf numFmtId="3" fontId="4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15" fillId="0" borderId="0" xfId="0" applyNumberFormat="1" applyFont="1"/>
    <xf numFmtId="10" fontId="8" fillId="0" borderId="0" xfId="1" applyNumberFormat="1" applyFont="1"/>
    <xf numFmtId="10" fontId="11" fillId="0" borderId="0" xfId="1" applyNumberFormat="1" applyFont="1"/>
    <xf numFmtId="10" fontId="0" fillId="0" borderId="0" xfId="1" applyNumberFormat="1" applyFont="1"/>
    <xf numFmtId="0" fontId="13" fillId="0" borderId="0" xfId="0" applyFont="1"/>
    <xf numFmtId="0" fontId="16" fillId="0" borderId="0" xfId="0" applyFont="1"/>
    <xf numFmtId="0" fontId="13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9" fontId="13" fillId="0" borderId="0" xfId="0" applyNumberFormat="1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4" fillId="0" borderId="1" xfId="0" applyFont="1" applyBorder="1" applyAlignment="1"/>
    <xf numFmtId="0" fontId="7" fillId="0" borderId="3" xfId="0" applyFont="1" applyBorder="1"/>
    <xf numFmtId="165" fontId="7" fillId="0" borderId="3" xfId="0" applyNumberFormat="1" applyFont="1" applyBorder="1"/>
    <xf numFmtId="0" fontId="7" fillId="4" borderId="0" xfId="0" applyFont="1" applyFill="1"/>
    <xf numFmtId="165" fontId="7" fillId="4" borderId="0" xfId="0" applyNumberFormat="1" applyFont="1" applyFill="1"/>
    <xf numFmtId="10" fontId="8" fillId="4" borderId="0" xfId="1" applyNumberFormat="1" applyFont="1" applyFill="1"/>
    <xf numFmtId="10" fontId="11" fillId="4" borderId="0" xfId="1" applyNumberFormat="1" applyFont="1" applyFill="1"/>
    <xf numFmtId="0" fontId="14" fillId="2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3" fontId="11" fillId="0" borderId="0" xfId="0" applyNumberFormat="1" applyFont="1"/>
    <xf numFmtId="4" fontId="1" fillId="0" borderId="0" xfId="0" applyNumberFormat="1" applyFont="1"/>
    <xf numFmtId="0" fontId="18" fillId="0" borderId="0" xfId="0" applyFont="1"/>
    <xf numFmtId="4" fontId="18" fillId="0" borderId="0" xfId="0" applyNumberFormat="1" applyFont="1"/>
    <xf numFmtId="9" fontId="2" fillId="0" borderId="0" xfId="0" applyNumberFormat="1" applyFont="1"/>
    <xf numFmtId="9" fontId="19" fillId="0" borderId="0" xfId="0" applyNumberFormat="1" applyFont="1"/>
    <xf numFmtId="1" fontId="0" fillId="0" borderId="0" xfId="0" applyNumberFormat="1"/>
    <xf numFmtId="165" fontId="0" fillId="0" borderId="0" xfId="0" applyNumberFormat="1"/>
    <xf numFmtId="9" fontId="0" fillId="0" borderId="0" xfId="0" applyNumberFormat="1" applyFont="1"/>
    <xf numFmtId="9" fontId="18" fillId="0" borderId="0" xfId="0" applyNumberFormat="1" applyFont="1"/>
    <xf numFmtId="0" fontId="14" fillId="4" borderId="0" xfId="0" applyFont="1" applyFill="1" applyBorder="1" applyAlignment="1"/>
    <xf numFmtId="0" fontId="0" fillId="4" borderId="0" xfId="0" applyFill="1"/>
    <xf numFmtId="0" fontId="6" fillId="4" borderId="0" xfId="0" applyFont="1" applyFill="1"/>
    <xf numFmtId="4" fontId="6" fillId="4" borderId="0" xfId="0" applyNumberFormat="1" applyFont="1" applyFill="1"/>
    <xf numFmtId="4" fontId="11" fillId="4" borderId="0" xfId="0" applyNumberFormat="1" applyFont="1" applyFill="1"/>
    <xf numFmtId="0" fontId="5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Border="1"/>
    <xf numFmtId="0" fontId="0" fillId="0" borderId="0" xfId="0" applyBorder="1"/>
    <xf numFmtId="3" fontId="1" fillId="0" borderId="0" xfId="0" applyNumberFormat="1" applyFont="1" applyBorder="1"/>
    <xf numFmtId="3" fontId="1" fillId="0" borderId="0" xfId="0" applyNumberFormat="1" applyFont="1"/>
    <xf numFmtId="8" fontId="0" fillId="0" borderId="0" xfId="0" applyNumberFormat="1"/>
    <xf numFmtId="8" fontId="1" fillId="0" borderId="0" xfId="0" applyNumberFormat="1" applyFont="1"/>
    <xf numFmtId="0" fontId="1" fillId="6" borderId="0" xfId="0" applyFont="1" applyFill="1"/>
    <xf numFmtId="164" fontId="0" fillId="0" borderId="0" xfId="0" applyNumberFormat="1"/>
    <xf numFmtId="0" fontId="20" fillId="0" borderId="0" xfId="0" applyFont="1"/>
    <xf numFmtId="0" fontId="14" fillId="3" borderId="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4" fillId="0" borderId="1" xfId="0" applyFont="1" applyBorder="1" applyAlignment="1">
      <alignment horizontal="right"/>
    </xf>
    <xf numFmtId="44" fontId="1" fillId="6" borderId="0" xfId="2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2B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68A0-3C52-AF41-A55D-1A79DB639AC3}">
  <dimension ref="A1:U109"/>
  <sheetViews>
    <sheetView tabSelected="1" zoomScale="120" zoomScaleNormal="120" workbookViewId="0">
      <pane xSplit="1" ySplit="14" topLeftCell="H45" activePane="bottomRight" state="frozen"/>
      <selection pane="topRight" activeCell="B1" sqref="B1"/>
      <selection pane="bottomLeft" activeCell="A15" sqref="A15"/>
      <selection pane="bottomRight" activeCell="C108" sqref="C108"/>
    </sheetView>
  </sheetViews>
  <sheetFormatPr baseColWidth="10" defaultRowHeight="16" x14ac:dyDescent="0.2"/>
  <cols>
    <col min="1" max="1" width="70.5" customWidth="1"/>
    <col min="2" max="4" width="39.33203125" customWidth="1"/>
    <col min="5" max="119" width="28" customWidth="1"/>
  </cols>
  <sheetData>
    <row r="1" spans="1:20" ht="23" x14ac:dyDescent="0.25">
      <c r="A1" s="71" t="s">
        <v>71</v>
      </c>
      <c r="B1" s="30"/>
      <c r="C1" s="30"/>
      <c r="D1" s="30"/>
      <c r="E1" s="30"/>
      <c r="F1" s="2"/>
    </row>
    <row r="2" spans="1:20" x14ac:dyDescent="0.2">
      <c r="A2" s="31" t="s">
        <v>0</v>
      </c>
      <c r="B2" s="31"/>
      <c r="C2" s="31"/>
      <c r="D2" s="31"/>
      <c r="E2" s="30"/>
    </row>
    <row r="3" spans="1:20" x14ac:dyDescent="0.2">
      <c r="A3" s="30"/>
      <c r="B3" s="30"/>
      <c r="C3" s="30"/>
      <c r="D3" s="30"/>
      <c r="E3" s="30"/>
    </row>
    <row r="4" spans="1:20" x14ac:dyDescent="0.2">
      <c r="A4" s="76" t="s">
        <v>3</v>
      </c>
      <c r="B4" s="76"/>
      <c r="C4" s="36"/>
      <c r="D4" s="36"/>
      <c r="E4" s="36"/>
    </row>
    <row r="5" spans="1:20" x14ac:dyDescent="0.2">
      <c r="A5" s="32" t="s">
        <v>1</v>
      </c>
      <c r="B5" s="33" t="s">
        <v>2</v>
      </c>
    </row>
    <row r="6" spans="1:20" x14ac:dyDescent="0.2">
      <c r="A6" s="32" t="s">
        <v>4</v>
      </c>
      <c r="B6" s="33">
        <v>96.97</v>
      </c>
    </row>
    <row r="7" spans="1:20" x14ac:dyDescent="0.2">
      <c r="A7" s="32" t="s">
        <v>5</v>
      </c>
      <c r="B7" s="33">
        <v>113840000</v>
      </c>
    </row>
    <row r="8" spans="1:20" x14ac:dyDescent="0.2">
      <c r="A8" s="32" t="s">
        <v>6</v>
      </c>
      <c r="B8" s="34">
        <v>1.8599999999999998E-2</v>
      </c>
    </row>
    <row r="9" spans="1:20" x14ac:dyDescent="0.2">
      <c r="A9" s="32" t="s">
        <v>7</v>
      </c>
      <c r="B9" s="33">
        <v>99.33</v>
      </c>
    </row>
    <row r="10" spans="1:20" x14ac:dyDescent="0.2">
      <c r="A10" s="35" t="s">
        <v>8</v>
      </c>
      <c r="B10" s="33">
        <v>50.02</v>
      </c>
    </row>
    <row r="11" spans="1:20" x14ac:dyDescent="0.2">
      <c r="A11" s="70"/>
    </row>
    <row r="13" spans="1:20" x14ac:dyDescent="0.2">
      <c r="B13" s="72" t="s">
        <v>32</v>
      </c>
      <c r="C13" s="73"/>
      <c r="D13" s="73"/>
      <c r="E13" s="73"/>
      <c r="F13" s="73"/>
      <c r="G13" s="73"/>
      <c r="H13" s="73"/>
      <c r="I13" s="73"/>
      <c r="J13" s="74"/>
      <c r="K13" s="75" t="s">
        <v>33</v>
      </c>
      <c r="L13" s="75"/>
      <c r="M13" s="75"/>
      <c r="N13" s="75"/>
      <c r="O13" s="75"/>
      <c r="P13" s="75"/>
      <c r="Q13" s="75"/>
      <c r="R13" s="75"/>
      <c r="S13" s="75"/>
    </row>
    <row r="14" spans="1:20" x14ac:dyDescent="0.2">
      <c r="A14" s="45" t="s">
        <v>31</v>
      </c>
      <c r="B14" s="43">
        <v>2012</v>
      </c>
      <c r="C14" s="43">
        <v>2013</v>
      </c>
      <c r="D14" s="43">
        <v>2014</v>
      </c>
      <c r="E14" s="43">
        <v>2015</v>
      </c>
      <c r="F14" s="43">
        <v>2016</v>
      </c>
      <c r="G14" s="43">
        <v>2017</v>
      </c>
      <c r="H14" s="43">
        <v>2018</v>
      </c>
      <c r="I14" s="43">
        <v>2019</v>
      </c>
      <c r="J14" s="43">
        <v>2020</v>
      </c>
      <c r="K14" s="44">
        <v>2021</v>
      </c>
      <c r="L14" s="44">
        <v>2022</v>
      </c>
      <c r="M14" s="44">
        <v>2023</v>
      </c>
      <c r="N14" s="44">
        <v>2024</v>
      </c>
      <c r="O14" s="44">
        <v>2025</v>
      </c>
      <c r="P14" s="44">
        <v>2026</v>
      </c>
      <c r="Q14" s="44">
        <v>2027</v>
      </c>
      <c r="R14" s="44">
        <v>2029</v>
      </c>
      <c r="S14" s="44">
        <v>2030</v>
      </c>
      <c r="T14" s="44" t="s">
        <v>64</v>
      </c>
    </row>
    <row r="16" spans="1:20" x14ac:dyDescent="0.2">
      <c r="A16" s="56" t="s">
        <v>30</v>
      </c>
      <c r="B16" s="56"/>
      <c r="C16" s="62"/>
      <c r="D16" s="62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</row>
    <row r="18" spans="1:20" x14ac:dyDescent="0.2">
      <c r="J18" s="4"/>
    </row>
    <row r="19" spans="1:20" x14ac:dyDescent="0.2">
      <c r="A19" s="3" t="s">
        <v>9</v>
      </c>
      <c r="B19" s="10"/>
      <c r="C19" s="10"/>
      <c r="D19" s="10"/>
      <c r="E19" s="8"/>
      <c r="F19" s="8"/>
      <c r="G19" s="8"/>
    </row>
    <row r="20" spans="1:20" x14ac:dyDescent="0.2">
      <c r="A20" s="3" t="s">
        <v>10</v>
      </c>
      <c r="B20" s="18">
        <v>10534.5</v>
      </c>
      <c r="C20" s="18">
        <v>11793.2</v>
      </c>
      <c r="D20" s="18">
        <v>12977.9</v>
      </c>
      <c r="E20" s="18">
        <v>15197.3</v>
      </c>
      <c r="F20" s="18">
        <v>16844.099999999999</v>
      </c>
      <c r="G20" s="18">
        <v>17650.7</v>
      </c>
      <c r="H20" s="18">
        <v>19690.3</v>
      </c>
      <c r="I20" s="18">
        <v>21544.400000000001</v>
      </c>
      <c r="J20" s="18">
        <v>19164.599999999999</v>
      </c>
      <c r="K20" s="25">
        <f>J20*(1+K21)</f>
        <v>23380.811999999998</v>
      </c>
      <c r="L20" s="25">
        <f>K20*(1+L21)</f>
        <v>26186.509440000002</v>
      </c>
      <c r="M20" s="25">
        <f t="shared" ref="M20:S20" si="0">L20*(1+M21)</f>
        <v>28805.160384000003</v>
      </c>
      <c r="N20" s="25">
        <f t="shared" si="0"/>
        <v>33702.037649279999</v>
      </c>
      <c r="O20" s="25">
        <f t="shared" si="0"/>
        <v>37072.241414208002</v>
      </c>
      <c r="P20" s="25">
        <f t="shared" si="0"/>
        <v>42633.077626339196</v>
      </c>
      <c r="Q20" s="25">
        <f t="shared" si="0"/>
        <v>46896.385388973118</v>
      </c>
      <c r="R20" s="25">
        <f t="shared" si="0"/>
        <v>51586.023927870432</v>
      </c>
      <c r="S20" s="25">
        <f t="shared" si="0"/>
        <v>56744.62632065748</v>
      </c>
      <c r="T20" s="19"/>
    </row>
    <row r="21" spans="1:20" s="29" customFormat="1" x14ac:dyDescent="0.2">
      <c r="A21" s="27" t="s">
        <v>37</v>
      </c>
      <c r="B21" s="28"/>
      <c r="C21" s="27">
        <f>C20/B20-1</f>
        <v>0.11948360149983395</v>
      </c>
      <c r="D21" s="27">
        <f t="shared" ref="D21" si="1">D20/C20-1</f>
        <v>0.10045619509547876</v>
      </c>
      <c r="E21" s="27">
        <f t="shared" ref="E21" si="2">E20/D20-1</f>
        <v>0.17101380038372915</v>
      </c>
      <c r="F21" s="27">
        <f t="shared" ref="F21" si="3">F20/E20-1</f>
        <v>0.10836135366150557</v>
      </c>
      <c r="G21" s="27">
        <f t="shared" ref="G21" si="4">G20/F20-1</f>
        <v>4.7886203477775835E-2</v>
      </c>
      <c r="H21" s="27">
        <f t="shared" ref="H21" si="5">H20/G20-1</f>
        <v>0.11555349079639887</v>
      </c>
      <c r="I21" s="27">
        <f t="shared" ref="I21" si="6">I20/H20-1</f>
        <v>9.4163115848920675E-2</v>
      </c>
      <c r="J21" s="27">
        <f t="shared" ref="J21" si="7">J20/I20-1</f>
        <v>-0.11046025881435562</v>
      </c>
      <c r="K21" s="28">
        <v>0.22</v>
      </c>
      <c r="L21" s="28">
        <v>0.12</v>
      </c>
      <c r="M21" s="28">
        <v>0.1</v>
      </c>
      <c r="N21" s="28">
        <v>0.17</v>
      </c>
      <c r="O21" s="28">
        <v>0.1</v>
      </c>
      <c r="P21" s="28">
        <v>0.15</v>
      </c>
      <c r="Q21" s="28">
        <v>0.1</v>
      </c>
      <c r="R21" s="28">
        <v>0.1</v>
      </c>
      <c r="S21" s="28">
        <v>0.1</v>
      </c>
    </row>
    <row r="22" spans="1:20" x14ac:dyDescent="0.2">
      <c r="A22" s="3" t="s">
        <v>11</v>
      </c>
      <c r="B22" s="18">
        <v>1210.3</v>
      </c>
      <c r="C22" s="18">
        <v>1360.5</v>
      </c>
      <c r="D22" s="18">
        <v>1588.6</v>
      </c>
      <c r="E22" s="18">
        <v>1861.9</v>
      </c>
      <c r="F22" s="18">
        <v>2154.1999999999998</v>
      </c>
      <c r="G22" s="18">
        <v>2355</v>
      </c>
      <c r="H22" s="18">
        <v>2652.2</v>
      </c>
      <c r="I22" s="18">
        <v>2875</v>
      </c>
      <c r="J22" s="18">
        <v>2327.1</v>
      </c>
      <c r="K22" s="25">
        <f>J22*(1+K23)</f>
        <v>2722.7069999999999</v>
      </c>
      <c r="L22" s="25">
        <f t="shared" ref="L22:S22" si="8">K22*(1+L23)</f>
        <v>3049.4318400000002</v>
      </c>
      <c r="M22" s="25">
        <f t="shared" si="8"/>
        <v>3293.3863872000006</v>
      </c>
      <c r="N22" s="25">
        <f t="shared" si="8"/>
        <v>3556.8572981760008</v>
      </c>
      <c r="O22" s="25">
        <f t="shared" si="8"/>
        <v>3841.4058820300811</v>
      </c>
      <c r="P22" s="25">
        <f t="shared" si="8"/>
        <v>4148.7183525924875</v>
      </c>
      <c r="Q22" s="25">
        <f t="shared" si="8"/>
        <v>4480.6158207998869</v>
      </c>
      <c r="R22" s="25">
        <f t="shared" si="8"/>
        <v>4839.0650864638783</v>
      </c>
      <c r="S22" s="25">
        <f t="shared" si="8"/>
        <v>5226.1902933809888</v>
      </c>
    </row>
    <row r="23" spans="1:20" s="29" customFormat="1" x14ac:dyDescent="0.2">
      <c r="A23" s="27" t="s">
        <v>37</v>
      </c>
      <c r="B23" s="28"/>
      <c r="C23" s="27">
        <f>C22/B22-1</f>
        <v>0.12410146244732712</v>
      </c>
      <c r="D23" s="27">
        <f t="shared" ref="D23:J23" si="9">D22/C22-1</f>
        <v>0.16765894891583977</v>
      </c>
      <c r="E23" s="27">
        <f t="shared" si="9"/>
        <v>0.17203827269293726</v>
      </c>
      <c r="F23" s="27">
        <f t="shared" si="9"/>
        <v>0.15699017133036119</v>
      </c>
      <c r="G23" s="27">
        <f t="shared" si="9"/>
        <v>9.3213257821929352E-2</v>
      </c>
      <c r="H23" s="27">
        <f t="shared" si="9"/>
        <v>0.12619957537154991</v>
      </c>
      <c r="I23" s="27">
        <f t="shared" si="9"/>
        <v>8.4005731091169711E-2</v>
      </c>
      <c r="J23" s="27">
        <f t="shared" si="9"/>
        <v>-0.19057391304347826</v>
      </c>
      <c r="K23" s="28">
        <v>0.17</v>
      </c>
      <c r="L23" s="28">
        <v>0.12</v>
      </c>
      <c r="M23" s="28">
        <v>0.08</v>
      </c>
      <c r="N23" s="28">
        <v>0.08</v>
      </c>
      <c r="O23" s="28">
        <v>0.08</v>
      </c>
      <c r="P23" s="28">
        <v>0.08</v>
      </c>
      <c r="Q23" s="28">
        <v>0.08</v>
      </c>
      <c r="R23" s="28">
        <v>0.08</v>
      </c>
      <c r="S23" s="28">
        <v>0.08</v>
      </c>
    </row>
    <row r="24" spans="1:20" x14ac:dyDescent="0.2">
      <c r="A24" s="3" t="s">
        <v>12</v>
      </c>
      <c r="B24" s="18">
        <v>1532</v>
      </c>
      <c r="C24" s="18">
        <v>1713.1</v>
      </c>
      <c r="D24" s="18">
        <v>1881.3</v>
      </c>
      <c r="E24" s="18">
        <v>2103.5</v>
      </c>
      <c r="F24" s="18">
        <v>2317.6</v>
      </c>
      <c r="G24" s="18">
        <v>2381.1</v>
      </c>
      <c r="H24" s="18">
        <v>2377</v>
      </c>
      <c r="I24" s="18">
        <v>2089.1999999999998</v>
      </c>
      <c r="J24" s="18">
        <v>2026.3</v>
      </c>
      <c r="K24" s="25">
        <f>J24*(1+K25)</f>
        <v>2127.6150000000002</v>
      </c>
      <c r="L24" s="25">
        <f t="shared" ref="L24:S24" si="10">K24*(1+L25)</f>
        <v>2233.9957500000005</v>
      </c>
      <c r="M24" s="25">
        <f t="shared" si="10"/>
        <v>2345.6955375000007</v>
      </c>
      <c r="N24" s="25">
        <f t="shared" si="10"/>
        <v>2462.9803143750009</v>
      </c>
      <c r="O24" s="25">
        <f t="shared" si="10"/>
        <v>2586.1293300937509</v>
      </c>
      <c r="P24" s="25">
        <f t="shared" si="10"/>
        <v>2715.4357965984386</v>
      </c>
      <c r="Q24" s="25">
        <f t="shared" si="10"/>
        <v>2851.2075864283606</v>
      </c>
      <c r="R24" s="25">
        <f t="shared" si="10"/>
        <v>2993.7679657497788</v>
      </c>
      <c r="S24" s="25">
        <f t="shared" si="10"/>
        <v>3143.456364037268</v>
      </c>
    </row>
    <row r="25" spans="1:20" s="29" customFormat="1" x14ac:dyDescent="0.2">
      <c r="A25" s="27" t="s">
        <v>37</v>
      </c>
      <c r="B25" s="28"/>
      <c r="C25" s="27">
        <f>C24/B24-1</f>
        <v>0.11821148825065264</v>
      </c>
      <c r="D25" s="27">
        <f t="shared" ref="D25:J25" si="11">D24/C24-1</f>
        <v>9.8184577666219131E-2</v>
      </c>
      <c r="E25" s="27">
        <f t="shared" si="11"/>
        <v>0.11810981767926432</v>
      </c>
      <c r="F25" s="27">
        <f t="shared" si="11"/>
        <v>0.10178274304730217</v>
      </c>
      <c r="G25" s="27">
        <f t="shared" si="11"/>
        <v>2.7399033482913282E-2</v>
      </c>
      <c r="H25" s="27">
        <f t="shared" si="11"/>
        <v>-1.7218932426189548E-3</v>
      </c>
      <c r="I25" s="27">
        <f t="shared" si="11"/>
        <v>-0.12107698779974763</v>
      </c>
      <c r="J25" s="27">
        <f t="shared" si="11"/>
        <v>-3.0107218073903819E-2</v>
      </c>
      <c r="K25" s="28">
        <v>0.05</v>
      </c>
      <c r="L25" s="28">
        <v>0.05</v>
      </c>
      <c r="M25" s="28">
        <v>0.05</v>
      </c>
      <c r="N25" s="28">
        <v>0.05</v>
      </c>
      <c r="O25" s="28">
        <v>0.05</v>
      </c>
      <c r="P25" s="28">
        <v>0.05</v>
      </c>
      <c r="Q25" s="28">
        <v>0.05</v>
      </c>
      <c r="R25" s="28">
        <v>0.05</v>
      </c>
      <c r="S25" s="28">
        <v>0.05</v>
      </c>
    </row>
    <row r="26" spans="1:20" s="12" customFormat="1" x14ac:dyDescent="0.2">
      <c r="A26" s="39" t="s">
        <v>13</v>
      </c>
      <c r="B26" s="40">
        <f>B20+B22+B24</f>
        <v>13276.8</v>
      </c>
      <c r="C26" s="40">
        <f t="shared" ref="C26:S26" si="12">C20+C22+C24</f>
        <v>14866.800000000001</v>
      </c>
      <c r="D26" s="40">
        <f t="shared" si="12"/>
        <v>16447.8</v>
      </c>
      <c r="E26" s="40">
        <f t="shared" si="12"/>
        <v>19162.7</v>
      </c>
      <c r="F26" s="40">
        <f t="shared" si="12"/>
        <v>21315.899999999998</v>
      </c>
      <c r="G26" s="40">
        <f t="shared" si="12"/>
        <v>22386.799999999999</v>
      </c>
      <c r="H26" s="40">
        <f t="shared" si="12"/>
        <v>24719.5</v>
      </c>
      <c r="I26" s="40">
        <f t="shared" si="12"/>
        <v>26508.600000000002</v>
      </c>
      <c r="J26" s="40">
        <f t="shared" si="12"/>
        <v>23517.999999999996</v>
      </c>
      <c r="K26" s="40">
        <f t="shared" si="12"/>
        <v>28231.133999999998</v>
      </c>
      <c r="L26" s="40">
        <f t="shared" si="12"/>
        <v>31469.937030000005</v>
      </c>
      <c r="M26" s="40">
        <f t="shared" si="12"/>
        <v>34444.242308700006</v>
      </c>
      <c r="N26" s="40">
        <f t="shared" si="12"/>
        <v>39721.875261831003</v>
      </c>
      <c r="O26" s="40">
        <f t="shared" si="12"/>
        <v>43499.776626331834</v>
      </c>
      <c r="P26" s="40">
        <f t="shared" si="12"/>
        <v>49497.231775530119</v>
      </c>
      <c r="Q26" s="40">
        <f t="shared" si="12"/>
        <v>54228.208796201368</v>
      </c>
      <c r="R26" s="40">
        <f t="shared" si="12"/>
        <v>59418.856980084092</v>
      </c>
      <c r="S26" s="40">
        <f t="shared" si="12"/>
        <v>65114.272978075736</v>
      </c>
      <c r="T26"/>
    </row>
    <row r="27" spans="1:20" s="29" customFormat="1" x14ac:dyDescent="0.2">
      <c r="A27" s="41" t="s">
        <v>37</v>
      </c>
      <c r="B27" s="42"/>
      <c r="C27" s="41">
        <f>C26/B26-1</f>
        <v>0.11975777295733936</v>
      </c>
      <c r="D27" s="41">
        <f t="shared" ref="D27:J27" si="13">D26/C26-1</f>
        <v>0.10634433771894414</v>
      </c>
      <c r="E27" s="41">
        <f t="shared" si="13"/>
        <v>0.16506158878391042</v>
      </c>
      <c r="F27" s="41">
        <f t="shared" si="13"/>
        <v>0.1123641240534996</v>
      </c>
      <c r="G27" s="41">
        <f t="shared" si="13"/>
        <v>5.0239492585347101E-2</v>
      </c>
      <c r="H27" s="41">
        <f t="shared" si="13"/>
        <v>0.10419979630853904</v>
      </c>
      <c r="I27" s="41">
        <f t="shared" si="13"/>
        <v>7.2376059386314529E-2</v>
      </c>
      <c r="J27" s="41">
        <f t="shared" si="13"/>
        <v>-0.11281621813298348</v>
      </c>
      <c r="K27" s="41">
        <f>K26/J26-1</f>
        <v>0.20040539161493331</v>
      </c>
      <c r="L27" s="41">
        <f t="shared" ref="L27:S27" si="14">L26/K26-1</f>
        <v>0.11472451053507116</v>
      </c>
      <c r="M27" s="41">
        <f t="shared" si="14"/>
        <v>9.4512590726337331E-2</v>
      </c>
      <c r="N27" s="41">
        <f t="shared" si="14"/>
        <v>0.15322250104476698</v>
      </c>
      <c r="O27" s="41">
        <f t="shared" si="14"/>
        <v>9.5108837123081047E-2</v>
      </c>
      <c r="P27" s="41">
        <f t="shared" si="14"/>
        <v>0.13787324014826852</v>
      </c>
      <c r="Q27" s="41">
        <f t="shared" si="14"/>
        <v>9.5580638572399845E-2</v>
      </c>
      <c r="R27" s="41">
        <f t="shared" si="14"/>
        <v>9.5718599214479783E-2</v>
      </c>
      <c r="S27" s="41">
        <f t="shared" si="14"/>
        <v>9.5851995266428958E-2</v>
      </c>
    </row>
    <row r="28" spans="1:20" s="12" customFormat="1" x14ac:dyDescent="0.2">
      <c r="A28" s="6"/>
      <c r="B28" s="20"/>
      <c r="C28" s="20"/>
      <c r="D28" s="20"/>
      <c r="E28" s="20"/>
      <c r="F28" s="20"/>
      <c r="G28" s="20"/>
      <c r="H28" s="20"/>
      <c r="I28" s="20"/>
      <c r="J28" s="20"/>
      <c r="K28" s="26"/>
      <c r="L28" s="26"/>
      <c r="M28" s="26"/>
      <c r="N28" s="26"/>
      <c r="O28" s="26"/>
      <c r="P28" s="26"/>
      <c r="Q28" s="26"/>
      <c r="R28" s="26"/>
      <c r="S28" s="26"/>
      <c r="T28"/>
    </row>
    <row r="29" spans="1:20" x14ac:dyDescent="0.2">
      <c r="A29" s="3" t="s">
        <v>36</v>
      </c>
      <c r="B29" s="18">
        <v>5813.3</v>
      </c>
      <c r="C29" s="18">
        <v>6382.3</v>
      </c>
      <c r="D29" s="18">
        <v>6858.8</v>
      </c>
      <c r="E29" s="18">
        <v>7787.5</v>
      </c>
      <c r="F29" s="18">
        <v>8509</v>
      </c>
      <c r="G29" s="18">
        <v>9034.4</v>
      </c>
      <c r="H29" s="18">
        <v>10174.5</v>
      </c>
      <c r="I29" s="18">
        <v>8526.9</v>
      </c>
      <c r="J29" s="18">
        <v>7694.9</v>
      </c>
      <c r="K29" s="25">
        <f>K30*K20</f>
        <v>9352.3248000000003</v>
      </c>
      <c r="L29" s="25">
        <f>L30*L26</f>
        <v>12587.974812000002</v>
      </c>
      <c r="M29" s="25">
        <f t="shared" ref="M29:S29" si="15">M30*M26</f>
        <v>13777.696923480004</v>
      </c>
      <c r="N29" s="25">
        <f t="shared" si="15"/>
        <v>15888.750104732402</v>
      </c>
      <c r="O29" s="25">
        <f t="shared" si="15"/>
        <v>17399.910650532733</v>
      </c>
      <c r="P29" s="25">
        <f t="shared" si="15"/>
        <v>19798.892710212051</v>
      </c>
      <c r="Q29" s="25">
        <f t="shared" si="15"/>
        <v>21691.283518480548</v>
      </c>
      <c r="R29" s="25">
        <f t="shared" si="15"/>
        <v>23767.542792033637</v>
      </c>
      <c r="S29" s="25">
        <f t="shared" si="15"/>
        <v>26045.709191230297</v>
      </c>
    </row>
    <row r="30" spans="1:20" s="1" customFormat="1" x14ac:dyDescent="0.2">
      <c r="A30" s="27" t="s">
        <v>39</v>
      </c>
      <c r="B30" s="27">
        <f>B29/B26</f>
        <v>0.43785400096408778</v>
      </c>
      <c r="C30" s="27">
        <f t="shared" ref="C30:J30" si="16">C29/C26</f>
        <v>0.42929884036914467</v>
      </c>
      <c r="D30" s="27">
        <f t="shared" si="16"/>
        <v>0.41700409781247344</v>
      </c>
      <c r="E30" s="27">
        <f t="shared" si="16"/>
        <v>0.40638845256670508</v>
      </c>
      <c r="F30" s="27">
        <f t="shared" si="16"/>
        <v>0.39918558446980895</v>
      </c>
      <c r="G30" s="27">
        <f t="shared" si="16"/>
        <v>0.40355924026658568</v>
      </c>
      <c r="H30" s="27">
        <f t="shared" si="16"/>
        <v>0.41159813103015835</v>
      </c>
      <c r="I30" s="27">
        <f t="shared" si="16"/>
        <v>0.32166542178764623</v>
      </c>
      <c r="J30" s="27">
        <f t="shared" si="16"/>
        <v>0.32719193808997366</v>
      </c>
      <c r="K30" s="28">
        <v>0.4</v>
      </c>
      <c r="L30" s="28">
        <v>0.4</v>
      </c>
      <c r="M30" s="28">
        <v>0.4</v>
      </c>
      <c r="N30" s="28">
        <v>0.4</v>
      </c>
      <c r="O30" s="28">
        <v>0.4</v>
      </c>
      <c r="P30" s="28">
        <v>0.4</v>
      </c>
      <c r="Q30" s="28">
        <v>0.4</v>
      </c>
      <c r="R30" s="28">
        <v>0.4</v>
      </c>
      <c r="S30" s="28">
        <v>0.4</v>
      </c>
      <c r="T30"/>
    </row>
    <row r="31" spans="1:20" x14ac:dyDescent="0.2">
      <c r="A31" s="3" t="s">
        <v>14</v>
      </c>
      <c r="B31" s="18">
        <v>3918.1</v>
      </c>
      <c r="C31" s="18">
        <v>4286.1000000000004</v>
      </c>
      <c r="D31" s="18">
        <v>4638.2</v>
      </c>
      <c r="E31" s="18">
        <v>5411.1</v>
      </c>
      <c r="F31" s="18">
        <v>6064.3</v>
      </c>
      <c r="G31" s="18">
        <v>6493.3</v>
      </c>
      <c r="H31" s="18">
        <v>7193.2</v>
      </c>
      <c r="I31" s="18">
        <v>10493.6</v>
      </c>
      <c r="J31" s="18">
        <v>10764</v>
      </c>
      <c r="K31" s="25">
        <f>K26*K32</f>
        <v>10445.519579999998</v>
      </c>
      <c r="L31" s="25">
        <f t="shared" ref="L31:S31" si="17">L26*L32</f>
        <v>11643.876701100002</v>
      </c>
      <c r="M31" s="25">
        <f t="shared" si="17"/>
        <v>10333.272692610002</v>
      </c>
      <c r="N31" s="25">
        <f t="shared" si="17"/>
        <v>11916.562578549301</v>
      </c>
      <c r="O31" s="25">
        <f t="shared" si="17"/>
        <v>13049.93298789955</v>
      </c>
      <c r="P31" s="25">
        <f t="shared" si="17"/>
        <v>14849.169532659034</v>
      </c>
      <c r="Q31" s="25">
        <f t="shared" si="17"/>
        <v>16268.46263886041</v>
      </c>
      <c r="R31" s="25">
        <f t="shared" si="17"/>
        <v>17825.657094025228</v>
      </c>
      <c r="S31" s="25">
        <f t="shared" si="17"/>
        <v>19534.281893422722</v>
      </c>
    </row>
    <row r="32" spans="1:20" x14ac:dyDescent="0.2">
      <c r="A32" s="7" t="s">
        <v>39</v>
      </c>
      <c r="B32" s="14">
        <f>B31/B26</f>
        <v>0.29510876114726442</v>
      </c>
      <c r="C32" s="14">
        <f t="shared" ref="C32:J32" si="18">C31/C26</f>
        <v>0.28830010493179431</v>
      </c>
      <c r="D32" s="14">
        <f t="shared" si="18"/>
        <v>0.28199516044698986</v>
      </c>
      <c r="E32" s="14">
        <f t="shared" si="18"/>
        <v>0.28237670056933523</v>
      </c>
      <c r="F32" s="14">
        <f t="shared" si="18"/>
        <v>0.28449654952406422</v>
      </c>
      <c r="G32" s="14">
        <f t="shared" si="18"/>
        <v>0.29005038683509926</v>
      </c>
      <c r="H32" s="27">
        <f t="shared" si="18"/>
        <v>0.29099294079572807</v>
      </c>
      <c r="I32" s="27">
        <f t="shared" si="18"/>
        <v>0.39585643904242396</v>
      </c>
      <c r="J32" s="27">
        <f t="shared" si="18"/>
        <v>0.45769198061059618</v>
      </c>
      <c r="K32" s="28">
        <v>0.37</v>
      </c>
      <c r="L32" s="28">
        <v>0.37</v>
      </c>
      <c r="M32" s="28">
        <v>0.3</v>
      </c>
      <c r="N32" s="28">
        <v>0.3</v>
      </c>
      <c r="O32" s="28">
        <v>0.3</v>
      </c>
      <c r="P32" s="28">
        <v>0.3</v>
      </c>
      <c r="Q32" s="28">
        <v>0.3</v>
      </c>
      <c r="R32" s="28">
        <v>0.3</v>
      </c>
      <c r="S32" s="28">
        <v>0.3</v>
      </c>
    </row>
    <row r="33" spans="1:20" x14ac:dyDescent="0.2">
      <c r="A33" s="3" t="s">
        <v>15</v>
      </c>
      <c r="B33" s="18">
        <v>407.2</v>
      </c>
      <c r="C33" s="18">
        <v>431.8</v>
      </c>
      <c r="D33" s="18">
        <v>457.3</v>
      </c>
      <c r="E33" s="18">
        <v>522.1</v>
      </c>
      <c r="F33" s="18">
        <v>499.2</v>
      </c>
      <c r="G33" s="18">
        <v>500.3</v>
      </c>
      <c r="H33" s="18">
        <v>539.29999999999995</v>
      </c>
      <c r="I33" s="18">
        <v>371</v>
      </c>
      <c r="J33" s="18">
        <v>430.3</v>
      </c>
      <c r="K33" s="25">
        <f>K34*K26</f>
        <v>423.46700999999996</v>
      </c>
      <c r="L33" s="25">
        <f t="shared" ref="L33:S33" si="19">L34*L26</f>
        <v>472.04905545000003</v>
      </c>
      <c r="M33" s="25">
        <f t="shared" si="19"/>
        <v>516.66363463050004</v>
      </c>
      <c r="N33" s="25">
        <f t="shared" si="19"/>
        <v>595.82812892746506</v>
      </c>
      <c r="O33" s="25">
        <f t="shared" si="19"/>
        <v>652.49664939497745</v>
      </c>
      <c r="P33" s="25">
        <f t="shared" si="19"/>
        <v>742.45847663295172</v>
      </c>
      <c r="Q33" s="25">
        <f t="shared" si="19"/>
        <v>813.42313194302051</v>
      </c>
      <c r="R33" s="25">
        <f t="shared" si="19"/>
        <v>891.28285470126139</v>
      </c>
      <c r="S33" s="25">
        <f t="shared" si="19"/>
        <v>976.71409467113597</v>
      </c>
    </row>
    <row r="34" spans="1:20" s="1" customFormat="1" x14ac:dyDescent="0.2">
      <c r="A34" s="7" t="s">
        <v>39</v>
      </c>
      <c r="B34" s="14">
        <f>B33/B26</f>
        <v>3.0670040973728611E-2</v>
      </c>
      <c r="C34" s="14">
        <f t="shared" ref="C34:J34" si="20">C33/C26</f>
        <v>2.9044582559797669E-2</v>
      </c>
      <c r="D34" s="14">
        <f t="shared" si="20"/>
        <v>2.7803110446381889E-2</v>
      </c>
      <c r="E34" s="14">
        <f t="shared" si="20"/>
        <v>2.7245638662610174E-2</v>
      </c>
      <c r="F34" s="14">
        <f t="shared" si="20"/>
        <v>2.3419137826692752E-2</v>
      </c>
      <c r="G34" s="14">
        <f t="shared" si="20"/>
        <v>2.2347990780281237E-2</v>
      </c>
      <c r="H34" s="14">
        <f t="shared" si="20"/>
        <v>2.1816784320071198E-2</v>
      </c>
      <c r="I34" s="14">
        <f t="shared" si="20"/>
        <v>1.3995458077755898E-2</v>
      </c>
      <c r="J34" s="14">
        <f t="shared" si="20"/>
        <v>1.8296623862573351E-2</v>
      </c>
      <c r="K34" s="15">
        <v>1.4999999999999999E-2</v>
      </c>
      <c r="L34" s="15">
        <v>1.4999999999999999E-2</v>
      </c>
      <c r="M34" s="15">
        <v>1.4999999999999999E-2</v>
      </c>
      <c r="N34" s="15">
        <v>1.4999999999999999E-2</v>
      </c>
      <c r="O34" s="15">
        <v>1.4999999999999999E-2</v>
      </c>
      <c r="P34" s="15">
        <v>1.4999999999999999E-2</v>
      </c>
      <c r="Q34" s="15">
        <v>1.4999999999999999E-2</v>
      </c>
      <c r="R34" s="15">
        <v>1.4999999999999999E-2</v>
      </c>
      <c r="S34" s="15">
        <v>1.4999999999999999E-2</v>
      </c>
      <c r="T34"/>
    </row>
    <row r="35" spans="1:20" x14ac:dyDescent="0.2">
      <c r="A35" s="3" t="s">
        <v>16</v>
      </c>
      <c r="B35" s="18">
        <v>550.29999999999995</v>
      </c>
      <c r="C35" s="18">
        <v>621.4</v>
      </c>
      <c r="D35" s="18">
        <v>709.6</v>
      </c>
      <c r="E35" s="18">
        <v>893.9</v>
      </c>
      <c r="F35" s="18">
        <v>980.8</v>
      </c>
      <c r="G35" s="18">
        <v>1011.4</v>
      </c>
      <c r="H35" s="18">
        <v>1247</v>
      </c>
      <c r="I35" s="18">
        <v>1377.3</v>
      </c>
      <c r="J35" s="18">
        <v>1431.3</v>
      </c>
      <c r="K35" s="25">
        <f>K36*K26</f>
        <v>1411.5567000000001</v>
      </c>
      <c r="L35" s="25">
        <f t="shared" ref="L35:S35" si="21">L36*L26</f>
        <v>1573.4968515000003</v>
      </c>
      <c r="M35" s="25">
        <f t="shared" si="21"/>
        <v>1722.2121154350004</v>
      </c>
      <c r="N35" s="25">
        <f t="shared" si="21"/>
        <v>1986.0937630915503</v>
      </c>
      <c r="O35" s="25">
        <f t="shared" si="21"/>
        <v>2174.9888313165916</v>
      </c>
      <c r="P35" s="25">
        <f t="shared" si="21"/>
        <v>2474.8615887765063</v>
      </c>
      <c r="Q35" s="25">
        <f t="shared" si="21"/>
        <v>2711.4104398100685</v>
      </c>
      <c r="R35" s="25">
        <f t="shared" si="21"/>
        <v>2970.9428490042046</v>
      </c>
      <c r="S35" s="25">
        <f t="shared" si="21"/>
        <v>3255.7136489037871</v>
      </c>
    </row>
    <row r="36" spans="1:20" x14ac:dyDescent="0.2">
      <c r="A36" s="7" t="s">
        <v>39</v>
      </c>
      <c r="B36" s="27">
        <f>B35/B26</f>
        <v>4.1448240539889131E-2</v>
      </c>
      <c r="C36" s="27">
        <f t="shared" ref="C36:J36" si="22">C35/C26</f>
        <v>4.1797831409583763E-2</v>
      </c>
      <c r="D36" s="27">
        <f t="shared" si="22"/>
        <v>4.3142547939542072E-2</v>
      </c>
      <c r="E36" s="27">
        <f t="shared" si="22"/>
        <v>4.6647914959791675E-2</v>
      </c>
      <c r="F36" s="27">
        <f t="shared" si="22"/>
        <v>4.601260092231621E-2</v>
      </c>
      <c r="G36" s="27">
        <f t="shared" si="22"/>
        <v>4.5178408705129812E-2</v>
      </c>
      <c r="H36" s="27">
        <f t="shared" si="22"/>
        <v>5.0446004166750949E-2</v>
      </c>
      <c r="I36" s="27">
        <f t="shared" si="22"/>
        <v>5.1956723478418315E-2</v>
      </c>
      <c r="J36" s="27">
        <f t="shared" si="22"/>
        <v>6.0859766986988695E-2</v>
      </c>
      <c r="K36" s="28">
        <v>0.05</v>
      </c>
      <c r="L36" s="28">
        <v>0.05</v>
      </c>
      <c r="M36" s="28">
        <v>0.05</v>
      </c>
      <c r="N36" s="28">
        <v>0.05</v>
      </c>
      <c r="O36" s="28">
        <v>0.05</v>
      </c>
      <c r="P36" s="28">
        <v>0.05</v>
      </c>
      <c r="Q36" s="28">
        <v>0.05</v>
      </c>
      <c r="R36" s="28">
        <v>0.05</v>
      </c>
      <c r="S36" s="28">
        <v>0.05</v>
      </c>
    </row>
    <row r="37" spans="1:20" x14ac:dyDescent="0.2">
      <c r="A37" s="3" t="s">
        <v>17</v>
      </c>
      <c r="B37" s="18">
        <v>801.2</v>
      </c>
      <c r="C37" s="18">
        <v>937.9</v>
      </c>
      <c r="D37" s="18">
        <v>991.3</v>
      </c>
      <c r="E37" s="18">
        <v>1196.7</v>
      </c>
      <c r="F37" s="18">
        <v>1408.9</v>
      </c>
      <c r="G37" s="18">
        <v>1450.7</v>
      </c>
      <c r="H37" s="18">
        <v>1759</v>
      </c>
      <c r="I37" s="18">
        <v>1824.1</v>
      </c>
      <c r="J37" s="18">
        <v>1679.6</v>
      </c>
      <c r="K37" s="25">
        <f>K38*K26</f>
        <v>1976.17938</v>
      </c>
      <c r="L37" s="25">
        <f t="shared" ref="L37:S37" si="23">L38*L26</f>
        <v>2202.8955921000006</v>
      </c>
      <c r="M37" s="25">
        <f t="shared" si="23"/>
        <v>2411.0969616090006</v>
      </c>
      <c r="N37" s="25">
        <f t="shared" si="23"/>
        <v>2780.5312683281704</v>
      </c>
      <c r="O37" s="25">
        <f t="shared" si="23"/>
        <v>3044.9843638432285</v>
      </c>
      <c r="P37" s="25">
        <f t="shared" si="23"/>
        <v>3464.8062242871088</v>
      </c>
      <c r="Q37" s="25">
        <f t="shared" si="23"/>
        <v>3795.974615734096</v>
      </c>
      <c r="R37" s="25">
        <f t="shared" si="23"/>
        <v>4159.3199886058865</v>
      </c>
      <c r="S37" s="25">
        <f t="shared" si="23"/>
        <v>4557.999108465302</v>
      </c>
    </row>
    <row r="38" spans="1:20" x14ac:dyDescent="0.2">
      <c r="A38" s="7" t="s">
        <v>39</v>
      </c>
      <c r="B38" s="14">
        <f>B37/B26</f>
        <v>6.0345866473849125E-2</v>
      </c>
      <c r="C38" s="14">
        <f t="shared" ref="C38:J38" si="24">C37/C26</f>
        <v>6.308687814459063E-2</v>
      </c>
      <c r="D38" s="14">
        <f t="shared" si="24"/>
        <v>6.0269458529408189E-2</v>
      </c>
      <c r="E38" s="14">
        <f t="shared" si="24"/>
        <v>6.2449446059271399E-2</v>
      </c>
      <c r="F38" s="14">
        <f t="shared" si="24"/>
        <v>6.6096200488836979E-2</v>
      </c>
      <c r="G38" s="14">
        <f t="shared" si="24"/>
        <v>6.4801579502206663E-2</v>
      </c>
      <c r="H38" s="14">
        <f t="shared" si="24"/>
        <v>7.1158397216772182E-2</v>
      </c>
      <c r="I38" s="14">
        <f t="shared" si="24"/>
        <v>6.8811630942411134E-2</v>
      </c>
      <c r="J38" s="14">
        <f t="shared" si="24"/>
        <v>7.1417637554213806E-2</v>
      </c>
      <c r="K38" s="15">
        <v>7.0000000000000007E-2</v>
      </c>
      <c r="L38" s="15">
        <v>7.0000000000000007E-2</v>
      </c>
      <c r="M38" s="15">
        <v>7.0000000000000007E-2</v>
      </c>
      <c r="N38" s="15">
        <v>7.0000000000000007E-2</v>
      </c>
      <c r="O38" s="15">
        <v>7.0000000000000007E-2</v>
      </c>
      <c r="P38" s="15">
        <v>7.0000000000000007E-2</v>
      </c>
      <c r="Q38" s="15">
        <v>7.0000000000000007E-2</v>
      </c>
      <c r="R38" s="15">
        <v>7.0000000000000007E-2</v>
      </c>
      <c r="S38" s="15">
        <v>7.0000000000000007E-2</v>
      </c>
    </row>
    <row r="39" spans="1:20" x14ac:dyDescent="0.2">
      <c r="A39" s="3" t="s">
        <v>34</v>
      </c>
      <c r="B39" s="18">
        <v>0</v>
      </c>
      <c r="C39" s="18">
        <v>2784.1</v>
      </c>
      <c r="D39" s="18">
        <v>-20.2</v>
      </c>
      <c r="E39" s="18">
        <v>0</v>
      </c>
      <c r="F39" s="18">
        <v>0</v>
      </c>
      <c r="G39" s="18">
        <v>153.5</v>
      </c>
      <c r="H39" s="18">
        <v>224.4</v>
      </c>
      <c r="I39" s="18">
        <v>135.80000000000001</v>
      </c>
      <c r="J39" s="18">
        <v>278.7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</row>
    <row r="40" spans="1:20" x14ac:dyDescent="0.2">
      <c r="A40" s="3"/>
      <c r="B40" s="18"/>
      <c r="C40" s="18"/>
      <c r="D40" s="18"/>
      <c r="E40" s="18"/>
      <c r="F40" s="18"/>
      <c r="G40" s="18"/>
      <c r="H40" s="18"/>
      <c r="I40" s="18"/>
      <c r="J40" s="18"/>
      <c r="K40" s="25"/>
      <c r="L40" s="25"/>
      <c r="M40" s="25"/>
      <c r="N40" s="25"/>
      <c r="O40" s="25"/>
      <c r="P40" s="25"/>
      <c r="Q40" s="25"/>
      <c r="R40" s="25"/>
      <c r="S40" s="25"/>
    </row>
    <row r="41" spans="1:20" s="12" customFormat="1" x14ac:dyDescent="0.2">
      <c r="A41" s="6" t="s">
        <v>18</v>
      </c>
      <c r="B41" s="20">
        <f>B29+B31+B33+B35+B37+B39</f>
        <v>11490.1</v>
      </c>
      <c r="C41" s="20">
        <f t="shared" ref="C41:J41" si="25">C29+C31+C33+C35+C37+C39</f>
        <v>15443.6</v>
      </c>
      <c r="D41" s="20">
        <f t="shared" si="25"/>
        <v>13634.999999999998</v>
      </c>
      <c r="E41" s="20">
        <f t="shared" si="25"/>
        <v>15811.300000000001</v>
      </c>
      <c r="F41" s="20">
        <f t="shared" si="25"/>
        <v>17462.2</v>
      </c>
      <c r="G41" s="20">
        <f t="shared" si="25"/>
        <v>18643.600000000002</v>
      </c>
      <c r="H41" s="20">
        <f t="shared" si="25"/>
        <v>21137.4</v>
      </c>
      <c r="I41" s="20">
        <f t="shared" si="25"/>
        <v>22728.699999999997</v>
      </c>
      <c r="J41" s="20">
        <f t="shared" si="25"/>
        <v>22278.799999999999</v>
      </c>
      <c r="K41" s="20">
        <f t="shared" ref="K41" si="26">K29+K31+K33+K35+K37+K39</f>
        <v>23609.047470000001</v>
      </c>
      <c r="L41" s="20">
        <f t="shared" ref="L41" si="27">L29+L31+L33+L35+L37+L39</f>
        <v>28480.293012150003</v>
      </c>
      <c r="M41" s="20">
        <f t="shared" ref="M41" si="28">M29+M31+M33+M35+M37+M39</f>
        <v>28760.942327764504</v>
      </c>
      <c r="N41" s="20">
        <f t="shared" ref="N41" si="29">N29+N31+N33+N35+N37+N39</f>
        <v>33167.765843628891</v>
      </c>
      <c r="O41" s="20">
        <f t="shared" ref="O41" si="30">O29+O31+O33+O35+O37+O39</f>
        <v>36322.313482987083</v>
      </c>
      <c r="P41" s="20">
        <f t="shared" ref="P41" si="31">P29+P31+P33+P35+P37+P39</f>
        <v>41330.188532567649</v>
      </c>
      <c r="Q41" s="20">
        <f t="shared" ref="Q41" si="32">Q29+Q31+Q33+Q35+Q37+Q39</f>
        <v>45280.554344828139</v>
      </c>
      <c r="R41" s="20">
        <f t="shared" ref="R41" si="33">R29+R31+R33+R35+R37+R39</f>
        <v>49614.745578370217</v>
      </c>
      <c r="S41" s="20">
        <f t="shared" ref="S41" si="34">S29+S31+S33+S35+S37+S39</f>
        <v>54370.417936693244</v>
      </c>
      <c r="T41"/>
    </row>
    <row r="42" spans="1:20" x14ac:dyDescent="0.2">
      <c r="A42" s="3"/>
      <c r="B42" s="22"/>
      <c r="C42" s="22"/>
      <c r="D42" s="22"/>
      <c r="E42" s="22"/>
      <c r="F42" s="22"/>
      <c r="G42" s="22"/>
      <c r="H42" s="22"/>
      <c r="I42" s="22"/>
      <c r="J42" s="22"/>
      <c r="K42" s="25"/>
      <c r="L42" s="25"/>
      <c r="M42" s="25"/>
      <c r="N42" s="25"/>
      <c r="O42" s="25"/>
      <c r="P42" s="25"/>
      <c r="Q42" s="25"/>
      <c r="R42" s="25"/>
      <c r="S42" s="25"/>
    </row>
    <row r="43" spans="1:20" x14ac:dyDescent="0.2">
      <c r="A43" s="3" t="s">
        <v>19</v>
      </c>
      <c r="B43" s="18">
        <v>210.7</v>
      </c>
      <c r="C43" s="18">
        <v>251.4</v>
      </c>
      <c r="D43" s="18">
        <v>268.3</v>
      </c>
      <c r="E43" s="18">
        <v>249.9</v>
      </c>
      <c r="F43" s="18">
        <v>318.2</v>
      </c>
      <c r="G43" s="18">
        <v>391.4</v>
      </c>
      <c r="H43" s="18">
        <v>301.2</v>
      </c>
      <c r="I43" s="18">
        <v>298</v>
      </c>
      <c r="J43" s="18">
        <v>322.5</v>
      </c>
      <c r="K43" s="25">
        <f>AVERAGE(H43:J43)</f>
        <v>307.23333333333335</v>
      </c>
      <c r="L43" s="25">
        <f t="shared" ref="L43:S43" si="35">AVERAGE(I43:K43)</f>
        <v>309.24444444444447</v>
      </c>
      <c r="M43" s="25">
        <f t="shared" si="35"/>
        <v>312.99259259259264</v>
      </c>
      <c r="N43" s="25">
        <f t="shared" si="35"/>
        <v>309.82345679012354</v>
      </c>
      <c r="O43" s="25">
        <f t="shared" si="35"/>
        <v>310.68683127572018</v>
      </c>
      <c r="P43" s="25">
        <f t="shared" si="35"/>
        <v>311.16762688614546</v>
      </c>
      <c r="Q43" s="25">
        <f t="shared" si="35"/>
        <v>310.55930498399636</v>
      </c>
      <c r="R43" s="25">
        <f t="shared" si="35"/>
        <v>310.80458771528737</v>
      </c>
      <c r="S43" s="25">
        <f t="shared" si="35"/>
        <v>310.84383986180973</v>
      </c>
    </row>
    <row r="44" spans="1:20" x14ac:dyDescent="0.2">
      <c r="A44" s="3"/>
      <c r="B44" s="18"/>
      <c r="C44" s="18"/>
      <c r="D44" s="18"/>
      <c r="E44" s="18"/>
      <c r="F44" s="18"/>
      <c r="G44" s="18"/>
      <c r="H44" s="18"/>
      <c r="I44" s="18"/>
      <c r="J44" s="18"/>
      <c r="K44" s="25"/>
      <c r="L44" s="25"/>
      <c r="M44" s="25"/>
      <c r="N44" s="25"/>
      <c r="O44" s="25"/>
      <c r="P44" s="25"/>
      <c r="Q44" s="25"/>
      <c r="R44" s="25"/>
      <c r="S44" s="25"/>
    </row>
    <row r="45" spans="1:20" s="12" customFormat="1" x14ac:dyDescent="0.2">
      <c r="A45" s="6" t="s">
        <v>20</v>
      </c>
      <c r="B45" s="20">
        <f>B26-B41+B43</f>
        <v>1997.399999999999</v>
      </c>
      <c r="C45" s="20">
        <f t="shared" ref="C45:J45" si="36">C26-C41+C43</f>
        <v>-325.3999999999993</v>
      </c>
      <c r="D45" s="20">
        <f t="shared" si="36"/>
        <v>3081.1000000000013</v>
      </c>
      <c r="E45" s="20">
        <f t="shared" si="36"/>
        <v>3601.2999999999997</v>
      </c>
      <c r="F45" s="20">
        <f t="shared" si="36"/>
        <v>4171.8999999999969</v>
      </c>
      <c r="G45" s="20">
        <f t="shared" si="36"/>
        <v>4134.5999999999967</v>
      </c>
      <c r="H45" s="20">
        <f t="shared" si="36"/>
        <v>3883.2999999999984</v>
      </c>
      <c r="I45" s="20">
        <f t="shared" si="36"/>
        <v>4077.9000000000051</v>
      </c>
      <c r="J45" s="20">
        <f t="shared" si="36"/>
        <v>1561.6999999999971</v>
      </c>
      <c r="K45" s="20">
        <f t="shared" ref="K45" si="37">K26-K41+K43</f>
        <v>4929.3198633333304</v>
      </c>
      <c r="L45" s="20">
        <f t="shared" ref="L45" si="38">L26-L41+L43</f>
        <v>3298.8884622944461</v>
      </c>
      <c r="M45" s="20">
        <f t="shared" ref="M45" si="39">M26-M41+M43</f>
        <v>5996.2925735280951</v>
      </c>
      <c r="N45" s="20">
        <f t="shared" ref="N45" si="40">N26-N41+N43</f>
        <v>6863.9328749922352</v>
      </c>
      <c r="O45" s="20">
        <f t="shared" ref="O45" si="41">O26-O41+O43</f>
        <v>7488.1499746204709</v>
      </c>
      <c r="P45" s="20">
        <f t="shared" ref="P45" si="42">P26-P41+P43</f>
        <v>8478.2108698486154</v>
      </c>
      <c r="Q45" s="20">
        <f t="shared" ref="Q45" si="43">Q26-Q41+Q43</f>
        <v>9258.2137563572269</v>
      </c>
      <c r="R45" s="20">
        <f t="shared" ref="R45" si="44">R26-R41+R43</f>
        <v>10114.915989429162</v>
      </c>
      <c r="S45" s="20">
        <f t="shared" ref="S45" si="45">S26-S41+S43</f>
        <v>11054.698881244301</v>
      </c>
      <c r="T45"/>
    </row>
    <row r="46" spans="1:20" x14ac:dyDescent="0.2">
      <c r="A46" s="3" t="s">
        <v>38</v>
      </c>
      <c r="B46" s="27">
        <f>B45/B26</f>
        <v>0.1504428778018799</v>
      </c>
      <c r="C46" s="27">
        <f t="shared" ref="C46:J46" si="46">C45/C26</f>
        <v>-2.1887696074474619E-2</v>
      </c>
      <c r="D46" s="27">
        <f t="shared" si="46"/>
        <v>0.18732596456668985</v>
      </c>
      <c r="E46" s="27">
        <f t="shared" si="46"/>
        <v>0.18793280696352807</v>
      </c>
      <c r="F46" s="27">
        <f t="shared" si="46"/>
        <v>0.19571775059931776</v>
      </c>
      <c r="G46" s="27">
        <f t="shared" si="46"/>
        <v>0.18468919184519436</v>
      </c>
      <c r="H46" s="27">
        <f t="shared" si="46"/>
        <v>0.15709460142802234</v>
      </c>
      <c r="I46" s="27">
        <f t="shared" si="46"/>
        <v>0.15383309567461143</v>
      </c>
      <c r="J46" s="27">
        <f t="shared" si="46"/>
        <v>6.6404456161238093E-2</v>
      </c>
      <c r="K46" s="27">
        <f t="shared" ref="K46" si="47">K45/K26</f>
        <v>0.17460580447577242</v>
      </c>
      <c r="L46" s="27">
        <f t="shared" ref="L46" si="48">L45/L26</f>
        <v>0.10482666232060285</v>
      </c>
      <c r="M46" s="27">
        <f t="shared" ref="M46" si="49">M45/M26</f>
        <v>0.1740869350467186</v>
      </c>
      <c r="N46" s="27">
        <f t="shared" ref="N46" si="50">N45/N26</f>
        <v>0.17279981948857864</v>
      </c>
      <c r="O46" s="27">
        <f t="shared" ref="O46" si="51">O45/O26</f>
        <v>0.17214226268204902</v>
      </c>
      <c r="P46" s="27">
        <f t="shared" ref="P46" si="52">P45/P26</f>
        <v>0.17128656625278138</v>
      </c>
      <c r="Q46" s="27">
        <f t="shared" ref="Q46" si="53">Q45/Q26</f>
        <v>0.17072689586984396</v>
      </c>
      <c r="R46" s="27">
        <f t="shared" ref="R46" si="54">R45/R26</f>
        <v>0.17023073992856277</v>
      </c>
      <c r="S46" s="27">
        <f t="shared" ref="S46" si="55">S45/S26</f>
        <v>0.16977382032609759</v>
      </c>
    </row>
    <row r="47" spans="1:20" x14ac:dyDescent="0.2">
      <c r="A47" s="3"/>
      <c r="B47" s="24"/>
      <c r="C47" s="24"/>
      <c r="D47" s="24"/>
      <c r="E47" s="24"/>
      <c r="F47" s="24"/>
      <c r="G47" s="24"/>
      <c r="H47" s="24"/>
      <c r="I47" s="24"/>
      <c r="J47" s="24"/>
      <c r="K47" s="25"/>
      <c r="L47" s="25"/>
      <c r="M47" s="25"/>
      <c r="N47" s="25"/>
      <c r="O47" s="25"/>
      <c r="P47" s="25"/>
      <c r="Q47" s="25"/>
      <c r="R47" s="25"/>
      <c r="S47" s="25"/>
    </row>
    <row r="48" spans="1:20" x14ac:dyDescent="0.2">
      <c r="A48" s="3" t="s">
        <v>21</v>
      </c>
      <c r="B48" s="18">
        <v>0</v>
      </c>
      <c r="C48" s="18">
        <v>0</v>
      </c>
      <c r="D48" s="18">
        <v>0</v>
      </c>
      <c r="E48" s="18">
        <v>390.6</v>
      </c>
      <c r="F48" s="18">
        <v>0</v>
      </c>
      <c r="G48" s="18">
        <v>0</v>
      </c>
      <c r="H48" s="18">
        <v>1376.4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</row>
    <row r="49" spans="1:20" x14ac:dyDescent="0.2">
      <c r="A49" s="3" t="s">
        <v>22</v>
      </c>
      <c r="B49" s="18">
        <v>0</v>
      </c>
      <c r="C49" s="18">
        <v>0</v>
      </c>
      <c r="D49" s="18">
        <v>0</v>
      </c>
      <c r="E49" s="18">
        <v>0</v>
      </c>
      <c r="F49" s="18">
        <v>5.4</v>
      </c>
      <c r="G49" s="18">
        <v>93.5</v>
      </c>
      <c r="H49" s="18">
        <v>499.2</v>
      </c>
      <c r="I49" s="18">
        <v>622.79999999999995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</row>
    <row r="50" spans="1:20" x14ac:dyDescent="0.2">
      <c r="A50" s="3" t="s">
        <v>35</v>
      </c>
      <c r="B50" s="18">
        <v>0</v>
      </c>
      <c r="C50" s="18">
        <v>0</v>
      </c>
      <c r="D50" s="18">
        <v>0</v>
      </c>
      <c r="E50" s="18">
        <v>-61.6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</row>
    <row r="51" spans="1:20" x14ac:dyDescent="0.2">
      <c r="A51" s="3" t="s">
        <v>23</v>
      </c>
      <c r="B51" s="18">
        <v>94.4</v>
      </c>
      <c r="C51" s="18">
        <v>123.6</v>
      </c>
      <c r="D51" s="18">
        <v>142.69999999999999</v>
      </c>
      <c r="E51" s="18">
        <v>43</v>
      </c>
      <c r="F51" s="18">
        <v>102.6</v>
      </c>
      <c r="G51" s="18">
        <v>181.8</v>
      </c>
      <c r="H51" s="18">
        <v>191.4</v>
      </c>
      <c r="I51" s="18">
        <v>96.5</v>
      </c>
      <c r="J51" s="18">
        <v>39.700000000000003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</row>
    <row r="52" spans="1:20" x14ac:dyDescent="0.2">
      <c r="A52" s="3" t="s">
        <v>24</v>
      </c>
      <c r="B52" s="18">
        <v>-32.700000000000003</v>
      </c>
      <c r="C52" s="18">
        <v>-28.1</v>
      </c>
      <c r="D52" s="18">
        <v>-64.099999999999994</v>
      </c>
      <c r="E52" s="18">
        <v>-70.5</v>
      </c>
      <c r="F52" s="18">
        <v>-81.3</v>
      </c>
      <c r="G52" s="18">
        <v>-92.5</v>
      </c>
      <c r="H52" s="18">
        <v>-170.3</v>
      </c>
      <c r="I52" s="18">
        <v>-331</v>
      </c>
      <c r="J52" s="18">
        <v>-437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</row>
    <row r="53" spans="1:20" x14ac:dyDescent="0.2">
      <c r="A53" s="3"/>
      <c r="B53" s="18"/>
      <c r="C53" s="18"/>
      <c r="D53" s="18"/>
      <c r="E53" s="18"/>
      <c r="F53" s="18"/>
      <c r="G53" s="18"/>
      <c r="H53" s="18"/>
      <c r="I53" s="18"/>
      <c r="J53" s="18"/>
      <c r="K53" s="25"/>
      <c r="L53" s="25"/>
      <c r="M53" s="25"/>
      <c r="N53" s="25"/>
      <c r="O53" s="25"/>
      <c r="P53" s="25"/>
      <c r="Q53" s="25"/>
      <c r="R53" s="25"/>
      <c r="S53" s="25"/>
    </row>
    <row r="54" spans="1:20" x14ac:dyDescent="0.2">
      <c r="A54" s="3" t="s">
        <v>25</v>
      </c>
      <c r="B54" s="22">
        <f>B45+B48+B49+B50+B51+B52</f>
        <v>2059.099999999999</v>
      </c>
      <c r="C54" s="22">
        <f t="shared" ref="C54:J54" si="56">C45+C48+C49+C50+C51+C52</f>
        <v>-229.8999999999993</v>
      </c>
      <c r="D54" s="22">
        <f t="shared" si="56"/>
        <v>3159.7000000000012</v>
      </c>
      <c r="E54" s="22">
        <f t="shared" si="56"/>
        <v>3902.7999999999997</v>
      </c>
      <c r="F54" s="22">
        <f t="shared" si="56"/>
        <v>4198.5999999999967</v>
      </c>
      <c r="G54" s="22">
        <f t="shared" si="56"/>
        <v>4317.3999999999969</v>
      </c>
      <c r="H54" s="22">
        <f t="shared" si="56"/>
        <v>5779.9999999999982</v>
      </c>
      <c r="I54" s="22">
        <f t="shared" si="56"/>
        <v>4466.2000000000053</v>
      </c>
      <c r="J54" s="22">
        <f t="shared" si="56"/>
        <v>1164.3999999999971</v>
      </c>
      <c r="K54" s="22">
        <f t="shared" ref="K54" si="57">K45+K48+K49+K50+K51+K52</f>
        <v>4929.3198633333304</v>
      </c>
      <c r="L54" s="22">
        <f t="shared" ref="L54" si="58">L45+L48+L49+L50+L51+L52</f>
        <v>3298.8884622944461</v>
      </c>
      <c r="M54" s="22">
        <f t="shared" ref="M54" si="59">M45+M48+M49+M50+M51+M52</f>
        <v>5996.2925735280951</v>
      </c>
      <c r="N54" s="22">
        <f t="shared" ref="N54" si="60">N45+N48+N49+N50+N51+N52</f>
        <v>6863.9328749922352</v>
      </c>
      <c r="O54" s="22">
        <f t="shared" ref="O54" si="61">O45+O48+O49+O50+O51+O52</f>
        <v>7488.1499746204709</v>
      </c>
      <c r="P54" s="22">
        <f t="shared" ref="P54" si="62">P45+P48+P49+P50+P51+P52</f>
        <v>8478.2108698486154</v>
      </c>
      <c r="Q54" s="22">
        <f t="shared" ref="Q54" si="63">Q45+Q48+Q49+Q50+Q51+Q52</f>
        <v>9258.2137563572269</v>
      </c>
      <c r="R54" s="22">
        <f t="shared" ref="R54" si="64">R45+R48+R49+R50+R51+R52</f>
        <v>10114.915989429162</v>
      </c>
      <c r="S54" s="22">
        <f t="shared" ref="S54" si="65">S45+S48+S49+S50+S51+S52</f>
        <v>11054.698881244301</v>
      </c>
    </row>
    <row r="55" spans="1:20" x14ac:dyDescent="0.2">
      <c r="A55" s="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5"/>
      <c r="O55" s="25"/>
      <c r="P55" s="25"/>
      <c r="Q55" s="25"/>
      <c r="R55" s="25"/>
      <c r="S55" s="25"/>
    </row>
    <row r="56" spans="1:20" x14ac:dyDescent="0.2">
      <c r="A56" s="3" t="s">
        <v>26</v>
      </c>
      <c r="B56" s="18">
        <v>674.4</v>
      </c>
      <c r="C56" s="18">
        <v>-238.7</v>
      </c>
      <c r="D56" s="18">
        <v>1092</v>
      </c>
      <c r="E56" s="18">
        <v>1143.7</v>
      </c>
      <c r="F56" s="18">
        <v>1379.7</v>
      </c>
      <c r="G56" s="18">
        <v>1432.6</v>
      </c>
      <c r="H56" s="18">
        <v>1262</v>
      </c>
      <c r="I56" s="18">
        <v>871.6</v>
      </c>
      <c r="J56" s="18">
        <v>239.7</v>
      </c>
      <c r="K56" s="22">
        <f>K57*K26</f>
        <v>846.93401999999992</v>
      </c>
      <c r="L56" s="22">
        <f t="shared" ref="L56:S56" si="66">L57*L26</f>
        <v>944.09811090000005</v>
      </c>
      <c r="M56" s="22">
        <f t="shared" si="66"/>
        <v>1033.3272692610001</v>
      </c>
      <c r="N56" s="22">
        <f t="shared" si="66"/>
        <v>1986.0937630915503</v>
      </c>
      <c r="O56" s="22">
        <f t="shared" si="66"/>
        <v>2174.9888313165916</v>
      </c>
      <c r="P56" s="22">
        <f t="shared" si="66"/>
        <v>2474.8615887765063</v>
      </c>
      <c r="Q56" s="22">
        <f t="shared" si="66"/>
        <v>2711.4104398100685</v>
      </c>
      <c r="R56" s="22">
        <f t="shared" si="66"/>
        <v>2970.9428490042046</v>
      </c>
      <c r="S56" s="22">
        <f t="shared" si="66"/>
        <v>3255.7136489037871</v>
      </c>
    </row>
    <row r="57" spans="1:20" x14ac:dyDescent="0.2">
      <c r="A57" s="7" t="s">
        <v>40</v>
      </c>
      <c r="B57" s="13">
        <f>B56/B26</f>
        <v>5.0795372378886483E-2</v>
      </c>
      <c r="C57" s="13">
        <f t="shared" ref="C57:J57" si="67">C56/C26</f>
        <v>-1.6055909812468048E-2</v>
      </c>
      <c r="D57" s="13">
        <f t="shared" si="67"/>
        <v>6.6391857877649299E-2</v>
      </c>
      <c r="E57" s="13">
        <f t="shared" si="67"/>
        <v>5.9683656269732342E-2</v>
      </c>
      <c r="F57" s="13">
        <f t="shared" si="67"/>
        <v>6.4726331048653829E-2</v>
      </c>
      <c r="G57" s="13">
        <f t="shared" si="67"/>
        <v>6.3993067343255841E-2</v>
      </c>
      <c r="H57" s="13">
        <f t="shared" si="67"/>
        <v>5.1052812556888288E-2</v>
      </c>
      <c r="I57" s="13">
        <f t="shared" si="67"/>
        <v>3.2879895581056709E-2</v>
      </c>
      <c r="J57" s="13">
        <f t="shared" si="67"/>
        <v>1.019219321370865E-2</v>
      </c>
      <c r="K57" s="16">
        <v>0.03</v>
      </c>
      <c r="L57" s="16">
        <v>0.03</v>
      </c>
      <c r="M57" s="16">
        <v>0.03</v>
      </c>
      <c r="N57" s="16">
        <v>0.05</v>
      </c>
      <c r="O57" s="16">
        <v>0.05</v>
      </c>
      <c r="P57" s="16">
        <v>0.05</v>
      </c>
      <c r="Q57" s="16">
        <v>0.05</v>
      </c>
      <c r="R57" s="16">
        <v>0.05</v>
      </c>
      <c r="S57" s="16">
        <v>0.05</v>
      </c>
    </row>
    <row r="58" spans="1:20" x14ac:dyDescent="0.2">
      <c r="A58" s="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5"/>
      <c r="O58" s="25"/>
      <c r="P58" s="25"/>
      <c r="Q58" s="25"/>
      <c r="R58" s="25"/>
      <c r="S58" s="25"/>
    </row>
    <row r="59" spans="1:20" s="5" customFormat="1" x14ac:dyDescent="0.2">
      <c r="A59" s="3" t="s">
        <v>27</v>
      </c>
      <c r="B59" s="22">
        <f>B54-B56</f>
        <v>1384.6999999999989</v>
      </c>
      <c r="C59" s="22">
        <f t="shared" ref="C59:J59" si="68">C54-C56</f>
        <v>8.8000000000006935</v>
      </c>
      <c r="D59" s="22">
        <f t="shared" si="68"/>
        <v>2067.7000000000012</v>
      </c>
      <c r="E59" s="22">
        <f t="shared" si="68"/>
        <v>2759.0999999999995</v>
      </c>
      <c r="F59" s="22">
        <f t="shared" si="68"/>
        <v>2818.8999999999969</v>
      </c>
      <c r="G59" s="22">
        <f t="shared" si="68"/>
        <v>2884.799999999997</v>
      </c>
      <c r="H59" s="22">
        <f t="shared" si="68"/>
        <v>4517.9999999999982</v>
      </c>
      <c r="I59" s="22">
        <f t="shared" si="68"/>
        <v>3594.6000000000054</v>
      </c>
      <c r="J59" s="22">
        <f t="shared" si="68"/>
        <v>924.69999999999709</v>
      </c>
      <c r="K59" s="22">
        <f t="shared" ref="K59" si="69">K54-K56</f>
        <v>4082.3858433333307</v>
      </c>
      <c r="L59" s="22">
        <f t="shared" ref="L59" si="70">L54-L56</f>
        <v>2354.7903513944461</v>
      </c>
      <c r="M59" s="22">
        <f t="shared" ref="M59" si="71">M54-M56</f>
        <v>4962.9653042670952</v>
      </c>
      <c r="N59" s="22">
        <f t="shared" ref="N59" si="72">N54-N56</f>
        <v>4877.8391119006847</v>
      </c>
      <c r="O59" s="22">
        <f t="shared" ref="O59" si="73">O54-O56</f>
        <v>5313.1611433038797</v>
      </c>
      <c r="P59" s="22">
        <f t="shared" ref="P59" si="74">P54-P56</f>
        <v>6003.3492810721091</v>
      </c>
      <c r="Q59" s="22">
        <f t="shared" ref="Q59" si="75">Q54-Q56</f>
        <v>6546.8033165471588</v>
      </c>
      <c r="R59" s="22">
        <f t="shared" ref="R59" si="76">R54-R56</f>
        <v>7143.9731404249578</v>
      </c>
      <c r="S59" s="22">
        <f t="shared" ref="S59" si="77">S54-S56</f>
        <v>7798.9852323405139</v>
      </c>
      <c r="T59"/>
    </row>
    <row r="60" spans="1:20" x14ac:dyDescent="0.2">
      <c r="A60" s="3" t="s">
        <v>28</v>
      </c>
      <c r="B60" s="18">
        <v>0.9</v>
      </c>
      <c r="C60" s="18">
        <v>0.5</v>
      </c>
      <c r="D60" s="18">
        <v>-0.4</v>
      </c>
      <c r="E60" s="18">
        <v>1.9</v>
      </c>
      <c r="F60" s="18">
        <v>1.2</v>
      </c>
      <c r="G60" s="18">
        <v>0.2</v>
      </c>
      <c r="H60" s="18">
        <v>-0.3</v>
      </c>
      <c r="I60" s="18">
        <v>-4.5999999999999996</v>
      </c>
      <c r="J60" s="18">
        <v>-3.6</v>
      </c>
      <c r="K60" s="22">
        <f>AVERAGE(F60:J60)</f>
        <v>-1.42</v>
      </c>
      <c r="L60" s="22">
        <f t="shared" ref="L60:S60" si="78">AVERAGE(G60:K60)</f>
        <v>-1.9439999999999997</v>
      </c>
      <c r="M60" s="22">
        <f t="shared" si="78"/>
        <v>-2.3727999999999998</v>
      </c>
      <c r="N60" s="22">
        <f t="shared" si="78"/>
        <v>-2.7873599999999996</v>
      </c>
      <c r="O60" s="22">
        <f t="shared" si="78"/>
        <v>-2.4248319999999999</v>
      </c>
      <c r="P60" s="22">
        <f t="shared" si="78"/>
        <v>-2.1897983999999999</v>
      </c>
      <c r="Q60" s="22">
        <f t="shared" si="78"/>
        <v>-2.3437580799999997</v>
      </c>
      <c r="R60" s="22">
        <f t="shared" si="78"/>
        <v>-2.4237096960000004</v>
      </c>
      <c r="S60" s="22">
        <f t="shared" si="78"/>
        <v>-2.4338916351999997</v>
      </c>
    </row>
    <row r="61" spans="1:20" x14ac:dyDescent="0.2">
      <c r="A61" s="3"/>
      <c r="B61" s="18"/>
      <c r="C61" s="18"/>
      <c r="D61" s="18"/>
      <c r="E61" s="18"/>
      <c r="F61" s="18"/>
      <c r="G61" s="18"/>
      <c r="H61" s="18"/>
      <c r="I61" s="18"/>
      <c r="J61" s="18"/>
      <c r="K61" s="22"/>
      <c r="L61" s="22"/>
      <c r="M61" s="22"/>
      <c r="N61" s="25"/>
      <c r="O61" s="25"/>
      <c r="P61" s="25"/>
      <c r="Q61" s="25"/>
      <c r="R61" s="25"/>
      <c r="S61" s="25"/>
    </row>
    <row r="62" spans="1:20" s="17" customFormat="1" ht="17" thickBot="1" x14ac:dyDescent="0.25">
      <c r="A62" s="37" t="s">
        <v>29</v>
      </c>
      <c r="B62" s="38">
        <f>B54-B56-B60</f>
        <v>1383.7999999999988</v>
      </c>
      <c r="C62" s="38">
        <f t="shared" ref="C62:J62" si="79">C54-C56-C60</f>
        <v>8.3000000000006935</v>
      </c>
      <c r="D62" s="38">
        <f t="shared" si="79"/>
        <v>2068.1000000000013</v>
      </c>
      <c r="E62" s="38">
        <f t="shared" si="79"/>
        <v>2757.1999999999994</v>
      </c>
      <c r="F62" s="38">
        <f t="shared" si="79"/>
        <v>2817.6999999999971</v>
      </c>
      <c r="G62" s="38">
        <f t="shared" si="79"/>
        <v>2884.5999999999972</v>
      </c>
      <c r="H62" s="38">
        <f t="shared" si="79"/>
        <v>4518.2999999999984</v>
      </c>
      <c r="I62" s="38">
        <f t="shared" si="79"/>
        <v>3599.2000000000053</v>
      </c>
      <c r="J62" s="38">
        <f t="shared" si="79"/>
        <v>928.29999999999711</v>
      </c>
      <c r="K62" s="38">
        <f t="shared" ref="K62" si="80">K54-K56-K60</f>
        <v>4083.8058433333308</v>
      </c>
      <c r="L62" s="38">
        <f t="shared" ref="L62" si="81">L54-L56-L60</f>
        <v>2356.7343513944461</v>
      </c>
      <c r="M62" s="38">
        <f t="shared" ref="M62" si="82">M54-M56-M60</f>
        <v>4965.3381042670953</v>
      </c>
      <c r="N62" s="38">
        <f t="shared" ref="N62" si="83">N54-N56-N60</f>
        <v>4880.6264719006849</v>
      </c>
      <c r="O62" s="38">
        <f t="shared" ref="O62" si="84">O54-O56-O60</f>
        <v>5315.5859753038794</v>
      </c>
      <c r="P62" s="38">
        <f t="shared" ref="P62" si="85">P54-P56-P60</f>
        <v>6005.5390794721088</v>
      </c>
      <c r="Q62" s="38">
        <f t="shared" ref="Q62" si="86">Q54-Q56-Q60</f>
        <v>6549.1470746271589</v>
      </c>
      <c r="R62" s="38">
        <f t="shared" ref="R62" si="87">R54-R56-R60</f>
        <v>7146.3968501209574</v>
      </c>
      <c r="S62" s="38">
        <f t="shared" ref="S62" si="88">S54-S56-S60</f>
        <v>7801.4191239757138</v>
      </c>
      <c r="T62"/>
    </row>
    <row r="63" spans="1:20" ht="17" thickTop="1" x14ac:dyDescent="0.2">
      <c r="A63" s="3"/>
      <c r="B63" s="3"/>
      <c r="C63" s="11"/>
      <c r="D63" s="3"/>
      <c r="F63" s="11"/>
      <c r="G63" s="11"/>
      <c r="H63" s="11"/>
      <c r="I63" s="11"/>
      <c r="J63" s="11"/>
      <c r="K63" s="5"/>
    </row>
    <row r="64" spans="1:20" x14ac:dyDescent="0.2">
      <c r="A64" s="3"/>
      <c r="B64" s="10"/>
      <c r="C64" s="3"/>
      <c r="D64" s="10"/>
      <c r="E64" s="9"/>
      <c r="F64" s="11"/>
      <c r="G64" s="11"/>
      <c r="H64" s="11"/>
      <c r="I64" s="3"/>
      <c r="J64" s="3"/>
      <c r="K64" s="5"/>
    </row>
    <row r="65" spans="1:19" x14ac:dyDescent="0.2">
      <c r="A65" s="3" t="s">
        <v>41</v>
      </c>
      <c r="B65" s="23">
        <f>B45</f>
        <v>1997.399999999999</v>
      </c>
      <c r="C65" s="23">
        <f t="shared" ref="C65:S65" si="89">C45</f>
        <v>-325.3999999999993</v>
      </c>
      <c r="D65" s="23">
        <f t="shared" si="89"/>
        <v>3081.1000000000013</v>
      </c>
      <c r="E65" s="23">
        <f t="shared" si="89"/>
        <v>3601.2999999999997</v>
      </c>
      <c r="F65" s="23">
        <f t="shared" si="89"/>
        <v>4171.8999999999969</v>
      </c>
      <c r="G65" s="23">
        <f t="shared" si="89"/>
        <v>4134.5999999999967</v>
      </c>
      <c r="H65" s="23">
        <f t="shared" si="89"/>
        <v>3883.2999999999984</v>
      </c>
      <c r="I65" s="23">
        <f t="shared" si="89"/>
        <v>4077.9000000000051</v>
      </c>
      <c r="J65" s="23">
        <f t="shared" si="89"/>
        <v>1561.6999999999971</v>
      </c>
      <c r="K65" s="23">
        <f t="shared" si="89"/>
        <v>4929.3198633333304</v>
      </c>
      <c r="L65" s="23">
        <f t="shared" si="89"/>
        <v>3298.8884622944461</v>
      </c>
      <c r="M65" s="23">
        <f t="shared" si="89"/>
        <v>5996.2925735280951</v>
      </c>
      <c r="N65" s="23">
        <f t="shared" si="89"/>
        <v>6863.9328749922352</v>
      </c>
      <c r="O65" s="23">
        <f t="shared" si="89"/>
        <v>7488.1499746204709</v>
      </c>
      <c r="P65" s="23">
        <f t="shared" si="89"/>
        <v>8478.2108698486154</v>
      </c>
      <c r="Q65" s="23">
        <f t="shared" si="89"/>
        <v>9258.2137563572269</v>
      </c>
      <c r="R65" s="23">
        <f t="shared" si="89"/>
        <v>10114.915989429162</v>
      </c>
      <c r="S65" s="23">
        <f t="shared" si="89"/>
        <v>11054.698881244301</v>
      </c>
    </row>
    <row r="66" spans="1:19" x14ac:dyDescent="0.2">
      <c r="A66" s="3" t="str">
        <f>A35</f>
        <v>Depreciation and amortization expenses</v>
      </c>
      <c r="B66" s="46">
        <v>580.6</v>
      </c>
      <c r="C66" s="46">
        <v>655.6</v>
      </c>
      <c r="D66" s="46">
        <v>748.4</v>
      </c>
      <c r="E66" s="46">
        <v>933.8</v>
      </c>
      <c r="F66" s="46">
        <v>1030.0999999999999</v>
      </c>
      <c r="G66" s="46">
        <v>1067</v>
      </c>
      <c r="H66" s="46">
        <v>1305.9000000000001</v>
      </c>
      <c r="I66" s="46">
        <v>1499.3</v>
      </c>
      <c r="J66" s="46">
        <v>1503</v>
      </c>
      <c r="K66" s="23">
        <f t="shared" ref="K66:S66" si="90">K35</f>
        <v>1411.5567000000001</v>
      </c>
      <c r="L66" s="23">
        <f t="shared" si="90"/>
        <v>1573.4968515000003</v>
      </c>
      <c r="M66" s="23">
        <f t="shared" si="90"/>
        <v>1722.2121154350004</v>
      </c>
      <c r="N66" s="23">
        <f t="shared" si="90"/>
        <v>1986.0937630915503</v>
      </c>
      <c r="O66" s="23">
        <f t="shared" si="90"/>
        <v>2174.9888313165916</v>
      </c>
      <c r="P66" s="23">
        <f t="shared" si="90"/>
        <v>2474.8615887765063</v>
      </c>
      <c r="Q66" s="23">
        <f t="shared" si="90"/>
        <v>2711.4104398100685</v>
      </c>
      <c r="R66" s="23">
        <f t="shared" si="90"/>
        <v>2970.9428490042046</v>
      </c>
      <c r="S66" s="23">
        <f t="shared" si="90"/>
        <v>3255.7136489037871</v>
      </c>
    </row>
    <row r="67" spans="1:19" x14ac:dyDescent="0.2">
      <c r="A67" s="3" t="s">
        <v>42</v>
      </c>
      <c r="B67" s="46">
        <v>153.6</v>
      </c>
      <c r="C67" s="46">
        <v>142.30000000000001</v>
      </c>
      <c r="D67" s="46">
        <v>183.2</v>
      </c>
      <c r="E67" s="46">
        <v>209.8</v>
      </c>
      <c r="F67" s="46">
        <v>218.1</v>
      </c>
      <c r="G67" s="46">
        <v>176</v>
      </c>
      <c r="H67" s="46">
        <v>250.3</v>
      </c>
      <c r="I67" s="46">
        <v>308</v>
      </c>
      <c r="J67" s="46">
        <v>248.6</v>
      </c>
      <c r="K67" s="23"/>
      <c r="L67" s="23"/>
      <c r="M67" s="23"/>
      <c r="N67" s="23"/>
      <c r="O67" s="23"/>
      <c r="P67" s="23"/>
      <c r="Q67" s="23"/>
      <c r="R67" s="23"/>
      <c r="S67" s="23"/>
    </row>
    <row r="68" spans="1:19" s="12" customFormat="1" x14ac:dyDescent="0.2">
      <c r="A68" s="6" t="s">
        <v>43</v>
      </c>
      <c r="B68" s="21">
        <f>B65+B66+B67</f>
        <v>2731.599999999999</v>
      </c>
      <c r="C68" s="21">
        <f t="shared" ref="C68:S68" si="91">C65+C66+C67</f>
        <v>472.50000000000074</v>
      </c>
      <c r="D68" s="21">
        <f t="shared" si="91"/>
        <v>4012.7000000000012</v>
      </c>
      <c r="E68" s="21">
        <f t="shared" si="91"/>
        <v>4744.8999999999996</v>
      </c>
      <c r="F68" s="21">
        <f t="shared" si="91"/>
        <v>5420.0999999999967</v>
      </c>
      <c r="G68" s="21">
        <f t="shared" si="91"/>
        <v>5377.5999999999967</v>
      </c>
      <c r="H68" s="21">
        <f t="shared" si="91"/>
        <v>5439.4999999999991</v>
      </c>
      <c r="I68" s="21">
        <f t="shared" si="91"/>
        <v>5885.2000000000053</v>
      </c>
      <c r="J68" s="21">
        <f t="shared" si="91"/>
        <v>3313.299999999997</v>
      </c>
      <c r="K68" s="21">
        <f t="shared" si="91"/>
        <v>6340.8765633333305</v>
      </c>
      <c r="L68" s="21">
        <f t="shared" si="91"/>
        <v>4872.3853137944461</v>
      </c>
      <c r="M68" s="21">
        <f t="shared" si="91"/>
        <v>7718.5046889630958</v>
      </c>
      <c r="N68" s="21">
        <f t="shared" si="91"/>
        <v>8850.0266380837857</v>
      </c>
      <c r="O68" s="21">
        <f t="shared" si="91"/>
        <v>9663.138805937062</v>
      </c>
      <c r="P68" s="21">
        <f t="shared" si="91"/>
        <v>10953.072458625122</v>
      </c>
      <c r="Q68" s="21">
        <f t="shared" si="91"/>
        <v>11969.624196167295</v>
      </c>
      <c r="R68" s="21">
        <f t="shared" si="91"/>
        <v>13085.858838433367</v>
      </c>
      <c r="S68" s="21">
        <f t="shared" si="91"/>
        <v>14310.412530148089</v>
      </c>
    </row>
    <row r="69" spans="1:19" s="12" customFormat="1" x14ac:dyDescent="0.2">
      <c r="A69" s="7" t="s">
        <v>52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 spans="1:19" x14ac:dyDescent="0.2">
      <c r="A70" s="7" t="s">
        <v>37</v>
      </c>
    </row>
    <row r="71" spans="1:19" s="12" customFormat="1" x14ac:dyDescent="0.2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 x14ac:dyDescent="0.2">
      <c r="A72" s="56" t="s">
        <v>44</v>
      </c>
      <c r="B72" s="59"/>
      <c r="C72" s="58"/>
      <c r="D72" s="59"/>
      <c r="E72" s="58"/>
      <c r="F72" s="60"/>
      <c r="G72" s="60"/>
      <c r="H72" s="60"/>
      <c r="I72" s="58"/>
      <c r="J72" s="58"/>
      <c r="K72" s="61"/>
      <c r="L72" s="58"/>
      <c r="M72" s="58"/>
      <c r="N72" s="57"/>
      <c r="O72" s="57"/>
      <c r="P72" s="57"/>
      <c r="Q72" s="57"/>
      <c r="R72" s="57"/>
      <c r="S72" s="57"/>
    </row>
    <row r="73" spans="1:19" x14ac:dyDescent="0.2">
      <c r="B73" s="9"/>
      <c r="D73" s="9"/>
      <c r="F73" s="11"/>
      <c r="G73" s="11"/>
      <c r="H73" s="11"/>
      <c r="I73" s="5"/>
      <c r="J73" s="5"/>
      <c r="K73" s="4"/>
      <c r="L73" s="5"/>
      <c r="M73" s="5"/>
    </row>
    <row r="74" spans="1:19" x14ac:dyDescent="0.2">
      <c r="A74" t="s">
        <v>45</v>
      </c>
      <c r="C74" s="48">
        <v>5471.4</v>
      </c>
      <c r="D74" s="49">
        <v>4168.7</v>
      </c>
      <c r="F74" s="48">
        <v>4757.8999999999996</v>
      </c>
      <c r="G74" s="48">
        <v>5283.4</v>
      </c>
      <c r="I74" s="48">
        <v>5653.9</v>
      </c>
      <c r="J74" s="48">
        <v>7806.4</v>
      </c>
      <c r="K74" s="4"/>
      <c r="L74" s="5"/>
      <c r="M74" s="5"/>
    </row>
    <row r="75" spans="1:19" x14ac:dyDescent="0.2">
      <c r="A75" t="s">
        <v>46</v>
      </c>
      <c r="C75" s="48">
        <v>2575.6999999999998</v>
      </c>
      <c r="D75" s="49">
        <v>1708.4</v>
      </c>
      <c r="F75" s="48">
        <v>2128.8000000000002</v>
      </c>
      <c r="G75" s="48">
        <v>2462.3000000000002</v>
      </c>
      <c r="I75" s="48">
        <v>2686.6</v>
      </c>
      <c r="J75" s="48">
        <v>4350.8999999999996</v>
      </c>
      <c r="K75" s="4"/>
      <c r="L75" s="5"/>
      <c r="M75" s="5"/>
    </row>
    <row r="76" spans="1:19" x14ac:dyDescent="0.2">
      <c r="A76" t="s">
        <v>47</v>
      </c>
      <c r="B76" s="9"/>
      <c r="C76" s="48">
        <v>5377.3</v>
      </c>
      <c r="D76" s="49">
        <v>3038.7</v>
      </c>
      <c r="E76" s="9"/>
      <c r="F76" s="49">
        <v>4546.8</v>
      </c>
      <c r="G76" s="49">
        <v>4220.7</v>
      </c>
      <c r="I76" s="49">
        <v>6168.7</v>
      </c>
      <c r="J76" s="48">
        <v>7346.8</v>
      </c>
      <c r="K76" s="4"/>
      <c r="L76" s="5"/>
      <c r="M76" s="5"/>
    </row>
    <row r="77" spans="1:19" x14ac:dyDescent="0.2">
      <c r="A77" t="s">
        <v>48</v>
      </c>
      <c r="B77" s="9"/>
      <c r="C77" s="48">
        <v>491.7</v>
      </c>
      <c r="D77" s="49">
        <v>533.70000000000005</v>
      </c>
      <c r="E77" s="9"/>
      <c r="F77" s="49">
        <v>399.9</v>
      </c>
      <c r="G77" s="49">
        <v>0</v>
      </c>
      <c r="I77" s="49">
        <v>0</v>
      </c>
      <c r="J77" s="48">
        <v>438.8</v>
      </c>
      <c r="K77" s="4"/>
      <c r="L77" s="5"/>
      <c r="M77" s="5"/>
    </row>
    <row r="78" spans="1:19" x14ac:dyDescent="0.2">
      <c r="E78" s="9"/>
      <c r="F78" s="9"/>
      <c r="K78" s="4"/>
      <c r="L78" s="5"/>
      <c r="M78" s="5"/>
    </row>
    <row r="79" spans="1:19" s="12" customFormat="1" x14ac:dyDescent="0.2">
      <c r="A79" s="12" t="s">
        <v>49</v>
      </c>
      <c r="B79" s="47">
        <f>B74-B75-B76+B77</f>
        <v>0</v>
      </c>
      <c r="C79" s="47">
        <f t="shared" ref="C79:J79" si="92">C74-C75-C76+C77</f>
        <v>-1989.9000000000003</v>
      </c>
      <c r="D79" s="47">
        <f t="shared" si="92"/>
        <v>-44.700000000000045</v>
      </c>
      <c r="E79" s="47">
        <f t="shared" si="92"/>
        <v>0</v>
      </c>
      <c r="F79" s="47">
        <f t="shared" si="92"/>
        <v>-1517.8000000000006</v>
      </c>
      <c r="G79" s="47">
        <f t="shared" si="92"/>
        <v>-1399.6000000000004</v>
      </c>
      <c r="H79" s="47">
        <f t="shared" si="92"/>
        <v>0</v>
      </c>
      <c r="I79" s="47">
        <f t="shared" si="92"/>
        <v>-3201.4</v>
      </c>
      <c r="J79" s="47">
        <f t="shared" si="92"/>
        <v>-3452.5</v>
      </c>
      <c r="K79" s="47">
        <f>K80*K26</f>
        <v>-3105.4247399999999</v>
      </c>
      <c r="L79" s="47">
        <f t="shared" ref="L79:S79" si="93">L80*L26</f>
        <v>-3461.6930733000004</v>
      </c>
      <c r="M79" s="47">
        <f t="shared" si="93"/>
        <v>-3788.8666539570008</v>
      </c>
      <c r="N79" s="47">
        <f t="shared" si="93"/>
        <v>-4369.4062788014107</v>
      </c>
      <c r="O79" s="47">
        <f t="shared" si="93"/>
        <v>-4784.9754288965014</v>
      </c>
      <c r="P79" s="47">
        <f t="shared" si="93"/>
        <v>-5444.6954953083132</v>
      </c>
      <c r="Q79" s="47">
        <f t="shared" si="93"/>
        <v>-5965.102967582151</v>
      </c>
      <c r="R79" s="47">
        <f t="shared" si="93"/>
        <v>-6536.0742678092502</v>
      </c>
      <c r="S79" s="47">
        <f t="shared" si="93"/>
        <v>-7162.570027588331</v>
      </c>
    </row>
    <row r="80" spans="1:19" s="12" customFormat="1" x14ac:dyDescent="0.2">
      <c r="A80" s="1" t="s">
        <v>52</v>
      </c>
      <c r="B80" s="54">
        <f>B79/B26</f>
        <v>0</v>
      </c>
      <c r="C80" s="54">
        <f t="shared" ref="C80:J80" si="94">C79/C26</f>
        <v>-0.13384857534910002</v>
      </c>
      <c r="D80" s="54">
        <f t="shared" si="94"/>
        <v>-2.7176886878488337E-3</v>
      </c>
      <c r="E80" s="54">
        <f t="shared" si="94"/>
        <v>0</v>
      </c>
      <c r="F80" s="54">
        <f t="shared" si="94"/>
        <v>-7.120506288732828E-2</v>
      </c>
      <c r="G80" s="54">
        <f t="shared" si="94"/>
        <v>-6.2518984401522343E-2</v>
      </c>
      <c r="H80" s="54">
        <f t="shared" si="94"/>
        <v>0</v>
      </c>
      <c r="I80" s="54">
        <f t="shared" si="94"/>
        <v>-0.12076835442082946</v>
      </c>
      <c r="J80" s="54">
        <f t="shared" si="94"/>
        <v>-0.14680244918785612</v>
      </c>
      <c r="K80" s="55">
        <v>-0.11</v>
      </c>
      <c r="L80" s="55">
        <v>-0.11</v>
      </c>
      <c r="M80" s="55">
        <v>-0.11</v>
      </c>
      <c r="N80" s="55">
        <v>-0.11</v>
      </c>
      <c r="O80" s="55">
        <v>-0.11</v>
      </c>
      <c r="P80" s="55">
        <v>-0.11</v>
      </c>
      <c r="Q80" s="55">
        <v>-0.11</v>
      </c>
      <c r="R80" s="55">
        <v>-0.11</v>
      </c>
      <c r="S80" s="55">
        <v>-0.11</v>
      </c>
    </row>
    <row r="81" spans="1:21" x14ac:dyDescent="0.2">
      <c r="E81" s="9"/>
      <c r="F81" s="9"/>
      <c r="K81" s="4"/>
      <c r="L81" s="5"/>
      <c r="M81" s="5"/>
    </row>
    <row r="82" spans="1:21" x14ac:dyDescent="0.2">
      <c r="A82" t="s">
        <v>50</v>
      </c>
      <c r="C82" s="48">
        <v>3200.5</v>
      </c>
      <c r="D82" s="48">
        <v>3519</v>
      </c>
      <c r="E82" s="49"/>
      <c r="F82" s="49">
        <v>4533.8</v>
      </c>
      <c r="G82" s="48">
        <v>4919.5</v>
      </c>
      <c r="H82" s="48"/>
      <c r="I82" s="48">
        <v>6431.7</v>
      </c>
      <c r="J82" s="48">
        <v>6241.8</v>
      </c>
      <c r="K82" s="4"/>
      <c r="L82" s="5"/>
      <c r="M82" s="5"/>
    </row>
    <row r="83" spans="1:21" x14ac:dyDescent="0.2">
      <c r="A83" t="s">
        <v>60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"/>
      <c r="L83" s="5"/>
      <c r="M83" s="5"/>
    </row>
    <row r="84" spans="1:21" x14ac:dyDescent="0.2">
      <c r="A84" t="s">
        <v>51</v>
      </c>
      <c r="B84" s="48">
        <f>B82</f>
        <v>0</v>
      </c>
      <c r="C84" s="48">
        <f t="shared" ref="C84:J84" si="95">C82</f>
        <v>3200.5</v>
      </c>
      <c r="D84" s="48">
        <f t="shared" si="95"/>
        <v>3519</v>
      </c>
      <c r="E84" s="48">
        <f t="shared" si="95"/>
        <v>0</v>
      </c>
      <c r="F84" s="48">
        <f t="shared" si="95"/>
        <v>4533.8</v>
      </c>
      <c r="G84" s="48">
        <f t="shared" si="95"/>
        <v>4919.5</v>
      </c>
      <c r="H84" s="48">
        <f t="shared" si="95"/>
        <v>0</v>
      </c>
      <c r="I84" s="48">
        <f t="shared" si="95"/>
        <v>6431.7</v>
      </c>
      <c r="J84" s="48">
        <f t="shared" si="95"/>
        <v>6241.8</v>
      </c>
      <c r="K84" s="52">
        <f>K85*K26</f>
        <v>6210.8494799999999</v>
      </c>
      <c r="L84" s="52">
        <f t="shared" ref="L84:S84" si="96">L85*L26</f>
        <v>6923.3861466000008</v>
      </c>
      <c r="M84" s="52">
        <f t="shared" si="96"/>
        <v>7577.7333079140017</v>
      </c>
      <c r="N84" s="52">
        <f t="shared" si="96"/>
        <v>8738.8125576028215</v>
      </c>
      <c r="O84" s="52">
        <f t="shared" si="96"/>
        <v>9569.9508577930028</v>
      </c>
      <c r="P84" s="52">
        <f t="shared" si="96"/>
        <v>10889.390990616626</v>
      </c>
      <c r="Q84" s="52">
        <f t="shared" si="96"/>
        <v>11930.205935164302</v>
      </c>
      <c r="R84" s="52">
        <f t="shared" si="96"/>
        <v>13072.1485356185</v>
      </c>
      <c r="S84" s="52">
        <f t="shared" si="96"/>
        <v>14325.140055176662</v>
      </c>
    </row>
    <row r="85" spans="1:21" s="1" customFormat="1" x14ac:dyDescent="0.2">
      <c r="A85" s="1" t="s">
        <v>52</v>
      </c>
      <c r="B85" s="50">
        <f t="shared" ref="B85:J85" si="97">B84/B26</f>
        <v>0</v>
      </c>
      <c r="C85" s="50">
        <f t="shared" si="97"/>
        <v>0.21527833831086715</v>
      </c>
      <c r="D85" s="50">
        <f t="shared" si="97"/>
        <v>0.21394958596286434</v>
      </c>
      <c r="E85" s="50">
        <f t="shared" si="97"/>
        <v>0</v>
      </c>
      <c r="F85" s="50">
        <f t="shared" si="97"/>
        <v>0.2126956872569303</v>
      </c>
      <c r="G85" s="50">
        <f t="shared" si="97"/>
        <v>0.21975003126842604</v>
      </c>
      <c r="H85" s="50">
        <f t="shared" si="97"/>
        <v>0</v>
      </c>
      <c r="I85" s="50">
        <f t="shared" si="97"/>
        <v>0.24262692107467007</v>
      </c>
      <c r="J85" s="50">
        <f t="shared" si="97"/>
        <v>0.26540522153244328</v>
      </c>
      <c r="K85" s="51">
        <v>0.22</v>
      </c>
      <c r="L85" s="51">
        <v>0.22</v>
      </c>
      <c r="M85" s="51">
        <v>0.22</v>
      </c>
      <c r="N85" s="51">
        <v>0.22</v>
      </c>
      <c r="O85" s="51">
        <v>0.22</v>
      </c>
      <c r="P85" s="51">
        <v>0.22</v>
      </c>
      <c r="Q85" s="51">
        <v>0.22</v>
      </c>
      <c r="R85" s="51">
        <v>0.22</v>
      </c>
      <c r="S85" s="51">
        <v>0.22</v>
      </c>
    </row>
    <row r="86" spans="1:21" x14ac:dyDescent="0.2">
      <c r="K86" s="4"/>
      <c r="L86" s="3"/>
    </row>
    <row r="87" spans="1:21" x14ac:dyDescent="0.2">
      <c r="A87" s="56" t="s">
        <v>53</v>
      </c>
      <c r="B87" s="57"/>
      <c r="C87" s="57"/>
      <c r="D87" s="57"/>
      <c r="E87" s="57"/>
      <c r="F87" s="57"/>
      <c r="G87" s="57"/>
      <c r="H87" s="57"/>
      <c r="I87" s="57"/>
      <c r="J87" s="57"/>
      <c r="K87" s="58"/>
      <c r="L87" s="58"/>
      <c r="M87" s="58"/>
      <c r="N87" s="57"/>
      <c r="O87" s="57"/>
      <c r="P87" s="57"/>
      <c r="Q87" s="57"/>
      <c r="R87" s="57"/>
      <c r="S87" s="57"/>
    </row>
    <row r="88" spans="1:21" x14ac:dyDescent="0.2">
      <c r="K88" s="4"/>
      <c r="L88" s="5"/>
      <c r="M88" s="5"/>
    </row>
    <row r="89" spans="1:21" x14ac:dyDescent="0.2">
      <c r="A89" t="s">
        <v>54</v>
      </c>
      <c r="B89" s="19">
        <f>B68</f>
        <v>2731.599999999999</v>
      </c>
      <c r="C89" s="19">
        <f t="shared" ref="C89:S89" si="98">C68</f>
        <v>472.50000000000074</v>
      </c>
      <c r="D89" s="19">
        <f t="shared" si="98"/>
        <v>4012.7000000000012</v>
      </c>
      <c r="E89" s="19">
        <f t="shared" si="98"/>
        <v>4744.8999999999996</v>
      </c>
      <c r="F89" s="19">
        <f t="shared" si="98"/>
        <v>5420.0999999999967</v>
      </c>
      <c r="G89" s="19">
        <f t="shared" si="98"/>
        <v>5377.5999999999967</v>
      </c>
      <c r="H89" s="19">
        <f t="shared" si="98"/>
        <v>5439.4999999999991</v>
      </c>
      <c r="I89" s="19">
        <f t="shared" si="98"/>
        <v>5885.2000000000053</v>
      </c>
      <c r="J89" s="19">
        <f t="shared" si="98"/>
        <v>3313.299999999997</v>
      </c>
      <c r="K89" s="19">
        <f t="shared" si="98"/>
        <v>6340.8765633333305</v>
      </c>
      <c r="L89" s="19">
        <f t="shared" si="98"/>
        <v>4872.3853137944461</v>
      </c>
      <c r="M89" s="19">
        <f t="shared" si="98"/>
        <v>7718.5046889630958</v>
      </c>
      <c r="N89" s="19">
        <f t="shared" si="98"/>
        <v>8850.0266380837857</v>
      </c>
      <c r="O89" s="19">
        <f t="shared" si="98"/>
        <v>9663.138805937062</v>
      </c>
      <c r="P89" s="19">
        <f t="shared" si="98"/>
        <v>10953.072458625122</v>
      </c>
      <c r="Q89" s="19">
        <f t="shared" si="98"/>
        <v>11969.624196167295</v>
      </c>
      <c r="R89" s="19">
        <f t="shared" si="98"/>
        <v>13085.858838433367</v>
      </c>
      <c r="S89" s="19">
        <f t="shared" si="98"/>
        <v>14310.412530148089</v>
      </c>
    </row>
    <row r="90" spans="1:21" x14ac:dyDescent="0.2">
      <c r="A90" t="s">
        <v>55</v>
      </c>
      <c r="B90" s="53">
        <f>B56</f>
        <v>674.4</v>
      </c>
      <c r="C90" s="53">
        <f t="shared" ref="C90:S90" si="99">C56</f>
        <v>-238.7</v>
      </c>
      <c r="D90" s="53">
        <f t="shared" si="99"/>
        <v>1092</v>
      </c>
      <c r="E90" s="53">
        <f t="shared" si="99"/>
        <v>1143.7</v>
      </c>
      <c r="F90" s="53">
        <f t="shared" si="99"/>
        <v>1379.7</v>
      </c>
      <c r="G90" s="53">
        <f t="shared" si="99"/>
        <v>1432.6</v>
      </c>
      <c r="H90" s="53">
        <f t="shared" si="99"/>
        <v>1262</v>
      </c>
      <c r="I90" s="53">
        <f t="shared" si="99"/>
        <v>871.6</v>
      </c>
      <c r="J90" s="53">
        <f t="shared" si="99"/>
        <v>239.7</v>
      </c>
      <c r="K90" s="53">
        <f t="shared" si="99"/>
        <v>846.93401999999992</v>
      </c>
      <c r="L90" s="53">
        <f t="shared" si="99"/>
        <v>944.09811090000005</v>
      </c>
      <c r="M90" s="53">
        <f t="shared" si="99"/>
        <v>1033.3272692610001</v>
      </c>
      <c r="N90" s="53">
        <f t="shared" si="99"/>
        <v>1986.0937630915503</v>
      </c>
      <c r="O90" s="53">
        <f t="shared" si="99"/>
        <v>2174.9888313165916</v>
      </c>
      <c r="P90" s="53">
        <f t="shared" si="99"/>
        <v>2474.8615887765063</v>
      </c>
      <c r="Q90" s="53">
        <f t="shared" si="99"/>
        <v>2711.4104398100685</v>
      </c>
      <c r="R90" s="53">
        <f t="shared" si="99"/>
        <v>2970.9428490042046</v>
      </c>
      <c r="S90" s="53">
        <f t="shared" si="99"/>
        <v>3255.7136489037871</v>
      </c>
    </row>
    <row r="91" spans="1:21" x14ac:dyDescent="0.2">
      <c r="A91" t="s">
        <v>56</v>
      </c>
      <c r="B91" s="52">
        <f>B84</f>
        <v>0</v>
      </c>
      <c r="C91" s="52">
        <f t="shared" ref="C91:S91" si="100">C84</f>
        <v>3200.5</v>
      </c>
      <c r="D91" s="52">
        <f t="shared" si="100"/>
        <v>3519</v>
      </c>
      <c r="E91" s="52">
        <f t="shared" si="100"/>
        <v>0</v>
      </c>
      <c r="F91" s="52">
        <f t="shared" si="100"/>
        <v>4533.8</v>
      </c>
      <c r="G91" s="52">
        <f t="shared" si="100"/>
        <v>4919.5</v>
      </c>
      <c r="H91" s="52">
        <f t="shared" si="100"/>
        <v>0</v>
      </c>
      <c r="I91" s="52">
        <f t="shared" si="100"/>
        <v>6431.7</v>
      </c>
      <c r="J91" s="52">
        <f t="shared" si="100"/>
        <v>6241.8</v>
      </c>
      <c r="K91" s="52">
        <f t="shared" si="100"/>
        <v>6210.8494799999999</v>
      </c>
      <c r="L91" s="52">
        <f t="shared" si="100"/>
        <v>6923.3861466000008</v>
      </c>
      <c r="M91" s="52">
        <f t="shared" si="100"/>
        <v>7577.7333079140017</v>
      </c>
      <c r="N91" s="52">
        <f t="shared" si="100"/>
        <v>8738.8125576028215</v>
      </c>
      <c r="O91" s="52">
        <f t="shared" si="100"/>
        <v>9569.9508577930028</v>
      </c>
      <c r="P91" s="52">
        <f t="shared" si="100"/>
        <v>10889.390990616626</v>
      </c>
      <c r="Q91" s="52">
        <f t="shared" si="100"/>
        <v>11930.205935164302</v>
      </c>
      <c r="R91" s="52">
        <f t="shared" si="100"/>
        <v>13072.1485356185</v>
      </c>
      <c r="S91" s="52">
        <f t="shared" si="100"/>
        <v>14325.140055176662</v>
      </c>
    </row>
    <row r="92" spans="1:21" x14ac:dyDescent="0.2">
      <c r="A92" t="s">
        <v>57</v>
      </c>
      <c r="C92" s="9">
        <f>-(C79-B79)</f>
        <v>1989.9000000000003</v>
      </c>
      <c r="D92" s="9">
        <f t="shared" ref="D92:S92" si="101">-(D79-C79)</f>
        <v>-1945.2000000000003</v>
      </c>
      <c r="E92" s="9">
        <f t="shared" si="101"/>
        <v>-44.700000000000045</v>
      </c>
      <c r="F92" s="9">
        <f t="shared" si="101"/>
        <v>1517.8000000000006</v>
      </c>
      <c r="G92" s="9">
        <f t="shared" si="101"/>
        <v>-118.20000000000027</v>
      </c>
      <c r="H92" s="9">
        <f t="shared" si="101"/>
        <v>-1399.6000000000004</v>
      </c>
      <c r="I92" s="9">
        <f t="shared" si="101"/>
        <v>3201.4</v>
      </c>
      <c r="J92" s="9">
        <f t="shared" si="101"/>
        <v>251.09999999999991</v>
      </c>
      <c r="K92" s="9">
        <f t="shared" si="101"/>
        <v>-347.07526000000007</v>
      </c>
      <c r="L92" s="9">
        <f t="shared" si="101"/>
        <v>356.26833330000045</v>
      </c>
      <c r="M92" s="9">
        <f t="shared" si="101"/>
        <v>327.17358065700046</v>
      </c>
      <c r="N92" s="9">
        <f t="shared" si="101"/>
        <v>580.5396248444099</v>
      </c>
      <c r="O92" s="9">
        <f t="shared" si="101"/>
        <v>415.56915009509066</v>
      </c>
      <c r="P92" s="9">
        <f t="shared" si="101"/>
        <v>659.72006641181179</v>
      </c>
      <c r="Q92" s="9">
        <f t="shared" si="101"/>
        <v>520.40747227383781</v>
      </c>
      <c r="R92" s="9">
        <f t="shared" si="101"/>
        <v>570.97130022709916</v>
      </c>
      <c r="S92" s="9">
        <f t="shared" si="101"/>
        <v>626.4957597790808</v>
      </c>
    </row>
    <row r="93" spans="1:21" x14ac:dyDescent="0.2">
      <c r="A93" t="s">
        <v>58</v>
      </c>
      <c r="E93" s="9"/>
      <c r="F93" s="9"/>
    </row>
    <row r="94" spans="1:21" x14ac:dyDescent="0.2">
      <c r="E94" s="9"/>
      <c r="F94" s="9"/>
    </row>
    <row r="95" spans="1:21" s="12" customFormat="1" x14ac:dyDescent="0.2">
      <c r="A95" s="63" t="s">
        <v>59</v>
      </c>
      <c r="B95" s="65"/>
      <c r="C95" s="65"/>
      <c r="D95" s="65">
        <f>D89-+D90+D91+D92-D93</f>
        <v>4494.5</v>
      </c>
      <c r="E95" s="65">
        <f t="shared" ref="E95:S95" si="102">E89-+E90+E91+E92-E93</f>
        <v>3556.5</v>
      </c>
      <c r="F95" s="65">
        <f t="shared" si="102"/>
        <v>10091.999999999998</v>
      </c>
      <c r="G95" s="65">
        <f t="shared" si="102"/>
        <v>8746.2999999999956</v>
      </c>
      <c r="H95" s="65">
        <f t="shared" si="102"/>
        <v>2777.8999999999987</v>
      </c>
      <c r="I95" s="65">
        <f t="shared" si="102"/>
        <v>14646.700000000004</v>
      </c>
      <c r="J95" s="65">
        <f t="shared" si="102"/>
        <v>9566.4999999999982</v>
      </c>
      <c r="K95" s="65">
        <f t="shared" si="102"/>
        <v>11357.716763333332</v>
      </c>
      <c r="L95" s="65">
        <f t="shared" si="102"/>
        <v>11207.941682794448</v>
      </c>
      <c r="M95" s="65">
        <f t="shared" si="102"/>
        <v>14590.084308273097</v>
      </c>
      <c r="N95" s="65">
        <f t="shared" si="102"/>
        <v>16183.285057439467</v>
      </c>
      <c r="O95" s="65">
        <f t="shared" si="102"/>
        <v>17473.669982508567</v>
      </c>
      <c r="P95" s="65">
        <f t="shared" si="102"/>
        <v>20027.321926877055</v>
      </c>
      <c r="Q95" s="65">
        <f t="shared" si="102"/>
        <v>21708.827163795366</v>
      </c>
      <c r="R95" s="65">
        <f t="shared" si="102"/>
        <v>23758.035825274761</v>
      </c>
      <c r="S95" s="65">
        <f t="shared" si="102"/>
        <v>26006.334696200047</v>
      </c>
      <c r="T95" s="65">
        <f>S95*(1+B99)/(1+B100)</f>
        <v>25263.296562022901</v>
      </c>
    </row>
    <row r="96" spans="1:21" x14ac:dyDescent="0.2">
      <c r="T96" s="63"/>
      <c r="U96" s="64"/>
    </row>
    <row r="97" spans="1:21" s="12" customFormat="1" x14ac:dyDescent="0.2">
      <c r="A97" s="12" t="s">
        <v>65</v>
      </c>
      <c r="B97" s="66">
        <f>B95</f>
        <v>0</v>
      </c>
      <c r="C97" s="66">
        <f t="shared" ref="C97:R97" si="103">C95</f>
        <v>0</v>
      </c>
      <c r="D97" s="66">
        <f t="shared" si="103"/>
        <v>4494.5</v>
      </c>
      <c r="E97" s="66">
        <f t="shared" si="103"/>
        <v>3556.5</v>
      </c>
      <c r="F97" s="66">
        <f t="shared" si="103"/>
        <v>10091.999999999998</v>
      </c>
      <c r="G97" s="66">
        <f t="shared" si="103"/>
        <v>8746.2999999999956</v>
      </c>
      <c r="H97" s="66">
        <f t="shared" si="103"/>
        <v>2777.8999999999987</v>
      </c>
      <c r="I97" s="66">
        <f t="shared" si="103"/>
        <v>14646.700000000004</v>
      </c>
      <c r="J97" s="66">
        <f t="shared" si="103"/>
        <v>9566.4999999999982</v>
      </c>
      <c r="K97" s="66">
        <f t="shared" si="103"/>
        <v>11357.716763333332</v>
      </c>
      <c r="L97" s="66">
        <f t="shared" si="103"/>
        <v>11207.941682794448</v>
      </c>
      <c r="M97" s="66">
        <f t="shared" si="103"/>
        <v>14590.084308273097</v>
      </c>
      <c r="N97" s="66">
        <f t="shared" si="103"/>
        <v>16183.285057439467</v>
      </c>
      <c r="O97" s="66">
        <f t="shared" si="103"/>
        <v>17473.669982508567</v>
      </c>
      <c r="P97" s="66">
        <f t="shared" si="103"/>
        <v>20027.321926877055</v>
      </c>
      <c r="Q97" s="66">
        <f t="shared" si="103"/>
        <v>21708.827163795366</v>
      </c>
      <c r="R97" s="66">
        <f t="shared" si="103"/>
        <v>23758.035825274761</v>
      </c>
      <c r="S97" s="66">
        <f>S95+T95</f>
        <v>51269.631258222944</v>
      </c>
      <c r="T97" s="63"/>
      <c r="U97" s="63"/>
    </row>
    <row r="98" spans="1:21" x14ac:dyDescent="0.2">
      <c r="T98" s="64"/>
      <c r="U98" s="64"/>
    </row>
    <row r="99" spans="1:21" x14ac:dyDescent="0.2">
      <c r="A99" t="s">
        <v>63</v>
      </c>
      <c r="B99" s="55">
        <v>0.02</v>
      </c>
      <c r="T99" s="64"/>
      <c r="U99" s="64"/>
    </row>
    <row r="100" spans="1:21" x14ac:dyDescent="0.2">
      <c r="A100" t="s">
        <v>61</v>
      </c>
      <c r="B100" s="55">
        <v>0.05</v>
      </c>
      <c r="T100" s="64"/>
      <c r="U100" s="64"/>
    </row>
    <row r="101" spans="1:21" x14ac:dyDescent="0.2">
      <c r="T101" s="64"/>
      <c r="U101" s="63"/>
    </row>
    <row r="102" spans="1:21" x14ac:dyDescent="0.2">
      <c r="A102" s="12" t="s">
        <v>62</v>
      </c>
      <c r="B102" s="68">
        <f>NPV(B100,B97:S97)</f>
        <v>129602.17782231103</v>
      </c>
      <c r="T102" s="64"/>
      <c r="U102" s="64"/>
    </row>
    <row r="103" spans="1:21" x14ac:dyDescent="0.2">
      <c r="A103" t="s">
        <v>66</v>
      </c>
      <c r="B103" s="48">
        <f>14659.6+1249.9+438.8</f>
        <v>16348.3</v>
      </c>
    </row>
    <row r="104" spans="1:21" x14ac:dyDescent="0.2">
      <c r="A104" t="s">
        <v>67</v>
      </c>
      <c r="B104">
        <f>J75</f>
        <v>4350.8999999999996</v>
      </c>
    </row>
    <row r="106" spans="1:21" x14ac:dyDescent="0.2">
      <c r="A106" t="s">
        <v>68</v>
      </c>
      <c r="B106" s="67">
        <f>B102-B103+B104</f>
        <v>117604.77782231102</v>
      </c>
    </row>
    <row r="107" spans="1:21" x14ac:dyDescent="0.2">
      <c r="A107" t="s">
        <v>69</v>
      </c>
      <c r="B107" s="48">
        <v>1181.8</v>
      </c>
    </row>
    <row r="109" spans="1:21" x14ac:dyDescent="0.2">
      <c r="A109" s="69" t="s">
        <v>70</v>
      </c>
      <c r="B109" s="77">
        <f>B106/B107</f>
        <v>99.513266053740921</v>
      </c>
    </row>
  </sheetData>
  <mergeCells count="3">
    <mergeCell ref="B13:J13"/>
    <mergeCell ref="K13:S13"/>
    <mergeCell ref="A4:B4"/>
  </mergeCells>
  <pageMargins left="0.7" right="0.7" top="0.75" bottom="0.75" header="0.3" footer="0.3"/>
  <ignoredErrors>
    <ignoredError sqref="F26:J26 C26:E26" formula="1"/>
    <ignoredError sqref="K43 K6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35B-E73F-4846-8105-A523226D205C}">
  <dimension ref="A20"/>
  <sheetViews>
    <sheetView workbookViewId="0">
      <selection activeCell="C6" sqref="C6"/>
    </sheetView>
  </sheetViews>
  <sheetFormatPr baseColWidth="10" defaultRowHeight="16" x14ac:dyDescent="0.2"/>
  <sheetData>
    <row r="20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Upadhyay</dc:creator>
  <cp:lastModifiedBy>Satish Upadhyay</cp:lastModifiedBy>
  <dcterms:created xsi:type="dcterms:W3CDTF">2020-11-23T20:38:53Z</dcterms:created>
  <dcterms:modified xsi:type="dcterms:W3CDTF">2020-11-25T02:57:57Z</dcterms:modified>
</cp:coreProperties>
</file>